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ssumptions" sheetId="1" state="visible" r:id="rId3"/>
    <sheet name="Segments" sheetId="2" state="visible" r:id="rId4"/>
    <sheet name="Funnel" sheetId="3" state="visible" r:id="rId5"/>
    <sheet name="TopDown_Check" sheetId="4" state="visible" r:id="rId6"/>
    <sheet name="Sources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<sst xmlns="http://schemas.openxmlformats.org/spreadsheetml/2006/main" count="128" uniqueCount="110">
  <si>
    <t xml:space="preserve">Saffron Route Foods - Malaysia market sizing: assumptions</t>
  </si>
  <si>
    <t xml:space="preserve">Blue = input; black = formula; green = cross-sheet link. MYR unless stated. Column C cites the source or flags a judgement to validate.</t>
  </si>
  <si>
    <t xml:space="preserve">General</t>
  </si>
  <si>
    <t xml:space="preserve">Malaysia population 2026 (million)</t>
  </si>
  <si>
    <t xml:space="preserve">DOSM Current Population Estimates 2026 (34.4m, +0.5%)</t>
  </si>
  <si>
    <t xml:space="preserve">Population growth p.a.</t>
  </si>
  <si>
    <t xml:space="preserve">DOSM 2026: 0.5%</t>
  </si>
  <si>
    <t xml:space="preserve">MYR per USD (display conversion only)</t>
  </si>
  <si>
    <t xml:space="preserve">ASSUMPTION - update to spot before use</t>
  </si>
  <si>
    <t xml:space="preserve">INR per MYR (display conversion only)</t>
  </si>
  <si>
    <t xml:space="preserve">Base year</t>
  </si>
  <si>
    <t xml:space="preserve">Ethnic composition (share of population)</t>
  </si>
  <si>
    <t xml:space="preserve">Malay</t>
  </si>
  <si>
    <t xml:space="preserve">DOSM Q1 2026: Malay 58.3%, other Bumiputera 12.3%, Chinese 22.1%, Indian 6.5%; Others = residual</t>
  </si>
  <si>
    <t xml:space="preserve">Other Bumiputera</t>
  </si>
  <si>
    <t xml:space="preserve">Chinese</t>
  </si>
  <si>
    <t xml:space="preserve">Indian</t>
  </si>
  <si>
    <t xml:space="preserve">Others</t>
  </si>
  <si>
    <t xml:space="preserve">Check: sums to 100%</t>
  </si>
  <si>
    <t xml:space="preserve">Per-capita annual spend, all brands and cuisines (MYR retail value)</t>
  </si>
  <si>
    <t xml:space="preserve">Spices, seasonings &amp; cooking pastes</t>
  </si>
  <si>
    <t xml:space="preserve">JUDGEMENT - validate against Euromonitor/Nielsen category data</t>
  </si>
  <si>
    <t xml:space="preserve">Frozen/chilled ready meals &amp; parathas</t>
  </si>
  <si>
    <t xml:space="preserve">Savoury snacks</t>
  </si>
  <si>
    <t xml:space="preserve">Total per capita</t>
  </si>
  <si>
    <t xml:space="preserve">Affinity: share of category spend going to Indian-style / South Asian-flavoured products</t>
  </si>
  <si>
    <t xml:space="preserve">JUDGEMENT - validate via consumer survey / shelf audit (frozen roti canai is mainstream, spices skew to Indian households)</t>
  </si>
  <si>
    <t xml:space="preserve">Serviceability filters</t>
  </si>
  <si>
    <t xml:space="preserve">Priority-region share of population</t>
  </si>
  <si>
    <t xml:space="preserve">Selangor 21.7% + Johor 12.3% (DOSM 2026) + KL/Putrajaya, Penang, Negeri Sembilan; judgement</t>
  </si>
  <si>
    <t xml:space="preserve">Channel reach (modern trade + ethnic grocers + online)</t>
  </si>
  <si>
    <t xml:space="preserve">Excludes wet markets / foodservice-only; judgement</t>
  </si>
  <si>
    <t xml:space="preserve">Growth</t>
  </si>
  <si>
    <t xml:space="preserve">TAM value growth p.a.</t>
  </si>
  <si>
    <t xml:space="preserve">Judgement: ~2% price + ~1% volume + mix; Retail market CAGR ~3.8% (IMARC)</t>
  </si>
  <si>
    <t xml:space="preserve">SAM (Indian-style) value growth p.a.</t>
  </si>
  <si>
    <t xml:space="preserve">Judgement: cuisine diffusion + online + premiumisation</t>
  </si>
  <si>
    <t xml:space="preserve">SOM: target share of SAM</t>
  </si>
  <si>
    <t xml:space="preserve">Year</t>
  </si>
  <si>
    <t xml:space="preserve">Target share of SAM</t>
  </si>
  <si>
    <t xml:space="preserve">Launch 2028 after 2027 set-up; set to match the bottom-up revenue build in 04_Financial_Model (ratio shown on its Summary sheet)</t>
  </si>
  <si>
    <t xml:space="preserve">Segment build: addressable Indian-style spend by consumer segment (MYR m, 2026)</t>
  </si>
  <si>
    <t xml:space="preserve">Segment</t>
  </si>
  <si>
    <t xml:space="preserve">Population (m)</t>
  </si>
  <si>
    <t xml:space="preserve">Spices &amp; pastes</t>
  </si>
  <si>
    <t xml:space="preserve">Frozen &amp; ready meals</t>
  </si>
  <si>
    <t xml:space="preserve">Indian-style spend</t>
  </si>
  <si>
    <t xml:space="preserve">% of pool</t>
  </si>
  <si>
    <t xml:space="preserve">Per-capita (MYR)</t>
  </si>
  <si>
    <t xml:space="preserve">Total category spend</t>
  </si>
  <si>
    <t xml:space="preserve">Indian-style % of spend</t>
  </si>
  <si>
    <t xml:space="preserve">Total</t>
  </si>
  <si>
    <t xml:space="preserve">TAM &gt; SAM &gt; SOM funnel and 2026-2032 projection</t>
  </si>
  <si>
    <t xml:space="preserve">Layer</t>
  </si>
  <si>
    <t xml:space="preserve">MYR m</t>
  </si>
  <si>
    <t xml:space="preserve">USD m</t>
  </si>
  <si>
    <t xml:space="preserve">INR crore</t>
  </si>
  <si>
    <t xml:space="preserve">% of TAM</t>
  </si>
  <si>
    <t xml:space="preserve">Definition</t>
  </si>
  <si>
    <t xml:space="preserve">TAM</t>
  </si>
  <si>
    <t xml:space="preserve">All Malaysian spend on spices/pastes, frozen/ready meals and savoury snacks (all brands, cuisines)</t>
  </si>
  <si>
    <t xml:space="preserve">Indian-style pool</t>
  </si>
  <si>
    <t xml:space="preserve">Share of TAM going to Indian / South Asian-flavoured products (segment affinity)</t>
  </si>
  <si>
    <t xml:space="preserve">Priority-region pool</t>
  </si>
  <si>
    <t xml:space="preserve">Pool in Klang Valley, Johor, Penang, Negeri Sembilan</t>
  </si>
  <si>
    <t xml:space="preserve">SAM (2026)</t>
  </si>
  <si>
    <t xml:space="preserve">Reachable through modern trade, ethnic grocers and online</t>
  </si>
  <si>
    <t xml:space="preserve">SOM (2032, Year 5)</t>
  </si>
  <si>
    <t xml:space="preserve">Share of SAM Saffron Route can realistically win by Year 5</t>
  </si>
  <si>
    <t xml:space="preserve">TAM (MYR m)</t>
  </si>
  <si>
    <t xml:space="preserve">SAM (MYR m)</t>
  </si>
  <si>
    <t xml:space="preserve">SOM share of SAM</t>
  </si>
  <si>
    <t xml:space="preserve">SOM (MYR m)</t>
  </si>
  <si>
    <t xml:space="preserve">SOM (USD m)</t>
  </si>
  <si>
    <t xml:space="preserve">SOM (INR crore)</t>
  </si>
  <si>
    <t xml:space="preserve">SAM as % of TAM</t>
  </si>
  <si>
    <t xml:space="preserve">Top-down sanity check of the bottom-up TAM</t>
  </si>
  <si>
    <t xml:space="preserve">Malaysia retail market 2025 (USD bn)</t>
  </si>
  <si>
    <t xml:space="preserve">IMARC Malaysia Retail Market 2026-2034 (third-party estimate)</t>
  </si>
  <si>
    <t xml:space="preserve">Food &amp; beverage share of retail</t>
  </si>
  <si>
    <t xml:space="preserve">IMARC (2025)</t>
  </si>
  <si>
    <t xml:space="preserve">F&amp;B retail (USD bn)</t>
  </si>
  <si>
    <t xml:space="preserve">F&amp;B retail (MYR bn)</t>
  </si>
  <si>
    <t xml:space="preserve">Bottom-up TAM (MYR bn)</t>
  </si>
  <si>
    <t xml:space="preserve">TAM as % of F&amp;B retail</t>
  </si>
  <si>
    <t xml:space="preserve">SAM as % of F&amp;B retail</t>
  </si>
  <si>
    <t xml:space="preserve">Reading: TAM ~4% of F&amp;B retail is plausible for three packaged categories. Retail value is a 2025 third-party figure; treat as order-of-magnitude.</t>
  </si>
  <si>
    <t xml:space="preserve">Sources and confidence</t>
  </si>
  <si>
    <t xml:space="preserve">Data point</t>
  </si>
  <si>
    <t xml:space="preserve">Source</t>
  </si>
  <si>
    <t xml:space="preserve">Confidence</t>
  </si>
  <si>
    <t xml:space="preserve">Population 34.4m (2026), growth 0.5%, median age 31.7, Selangor 21.7%, Johor 12.3%</t>
  </si>
  <si>
    <t xml:space="preserve">DOSM via Malay Mail (31 Jul 2026)</t>
  </si>
  <si>
    <t xml:space="preserve">High</t>
  </si>
  <si>
    <t xml:space="preserve">Ethnic shares: Malay 58.3, other Bumiputera 12.3, Chinese 22.1, Indian 6.5</t>
  </si>
  <si>
    <t xml:space="preserve">DOSM Q1 2026 via Bernama / The Edge (14 May 2026)</t>
  </si>
  <si>
    <t xml:space="preserve">Retail market USD132.3bn (2025), F&amp;B 41.2%, hypermarkets/supermarkets 38.7%</t>
  </si>
  <si>
    <t xml:space="preserve">IMARC Group</t>
  </si>
  <si>
    <t xml:space="preserve">Medium (3rd-party)</t>
  </si>
  <si>
    <t xml:space="preserve">E-commerce: Shopee 83%, TikTok Shop 64%, Lazada 42% of respondents purchased (2026)</t>
  </si>
  <si>
    <t xml:space="preserve">Vodus survey (Aug 2026)</t>
  </si>
  <si>
    <t xml:space="preserve">Medium (panel survey)</t>
  </si>
  <si>
    <t xml:space="preserve">E-commerce market size varies by definition: USD12.2bn (Mordor, 2026) vs USD37.8bn (GlobalData)</t>
  </si>
  <si>
    <t xml:space="preserve">Mordor Intelligence; GlobalData via Datarize</t>
  </si>
  <si>
    <t xml:space="preserve">Low - definitions differ</t>
  </si>
  <si>
    <t xml:space="preserve">Halal: imported goods cannot be marked halal unless certified by a JAKIM-recognised foreign body (94 bodies, ~48 countries from 30 Jan 2026), incl. Indian bodies</t>
  </si>
  <si>
    <t xml:space="preserve">JAKIM / Trade Descriptions (Certification and Marking of Halal) Order 2011</t>
  </si>
  <si>
    <t xml:space="preserve">Per-capita spend, affinity %, regional and channel filters, growth rates, FX</t>
  </si>
  <si>
    <t xml:space="preserve">Team judgement</t>
  </si>
  <si>
    <t xml:space="preserve">Validate before investment decision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</si>
</sst>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0.0"/>
    <numFmt numFmtId="166" formatCode="0.0%;\(0.0%\);\-"/>
    <numFmt numFmtId="167" formatCode="0.00"/>
    <numFmt numFmtId="168" formatCode="0"/>
    <numFmt numFmtId="169" formatCode="#,##0;\(#,##0\);\-"/>
    <numFmt numFmtId="170" formatCode="#,##0.00;\(#,##0.00\);\-"/>
    <numFmt numFmtId="171" formatCode="#,##0.0;\(#,##0.0\);\-"/>
    <numFmt numFmtId="172" formatCode="0.00%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4A2C0A"/>
      <name val="Arial"/>
      <family val="0"/>
      <charset val="1"/>
    </font>
    <font>
      <i val="true"/>
      <sz val="9"/>
      <color rgb="FF666666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800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7A3E00"/>
        <bgColor rgb="FF4A2C0A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70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4A2C0A"/>
      <rgbColor rgb="FF7A3E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4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7" min="2" style="0" width="14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  <c r="B3" s="4"/>
      <c r="C3" s="4"/>
    </row>
    <row r="4" customFormat="false" ht="15" hidden="false" customHeight="false" outlineLevel="0" collapsed="false">
      <c r="A4" s="5" t="s">
        <v>3</v>
      </c>
      <c r="B4" s="6" t="n">
        <v>34.4</v>
      </c>
      <c r="C4" s="2" t="s">
        <v>4</v>
      </c>
    </row>
    <row r="5" customFormat="false" ht="15" hidden="false" customHeight="false" outlineLevel="0" collapsed="false">
      <c r="A5" s="5" t="s">
        <v>5</v>
      </c>
      <c r="B5" s="7" t="n">
        <v>0.005</v>
      </c>
      <c r="C5" s="2" t="s">
        <v>6</v>
      </c>
    </row>
    <row r="6" customFormat="false" ht="15" hidden="false" customHeight="false" outlineLevel="0" collapsed="false">
      <c r="A6" s="5" t="s">
        <v>7</v>
      </c>
      <c r="B6" s="8" t="n">
        <v>4.25</v>
      </c>
      <c r="C6" s="2" t="s">
        <v>8</v>
      </c>
    </row>
    <row r="7" customFormat="false" ht="15" hidden="false" customHeight="false" outlineLevel="0" collapsed="false">
      <c r="A7" s="5" t="s">
        <v>9</v>
      </c>
      <c r="B7" s="6" t="n">
        <v>20.5</v>
      </c>
      <c r="C7" s="2" t="s">
        <v>8</v>
      </c>
    </row>
    <row r="8" customFormat="false" ht="15" hidden="false" customHeight="false" outlineLevel="0" collapsed="false">
      <c r="A8" s="5" t="s">
        <v>10</v>
      </c>
      <c r="B8" s="9" t="n">
        <v>2026</v>
      </c>
      <c r="C8" s="2"/>
    </row>
    <row r="10" customFormat="false" ht="15" hidden="false" customHeight="false" outlineLevel="0" collapsed="false">
      <c r="A10" s="3" t="s">
        <v>11</v>
      </c>
      <c r="B10" s="4"/>
      <c r="C10" s="4"/>
    </row>
    <row r="11" customFormat="false" ht="15" hidden="false" customHeight="false" outlineLevel="0" collapsed="false">
      <c r="A11" s="5" t="s">
        <v>12</v>
      </c>
      <c r="B11" s="7" t="n">
        <v>0.583</v>
      </c>
      <c r="C11" s="2" t="s">
        <v>13</v>
      </c>
    </row>
    <row r="12" customFormat="false" ht="15" hidden="false" customHeight="false" outlineLevel="0" collapsed="false">
      <c r="A12" s="5" t="s">
        <v>14</v>
      </c>
      <c r="B12" s="7" t="n">
        <v>0.123</v>
      </c>
      <c r="C12" s="2"/>
    </row>
    <row r="13" customFormat="false" ht="15" hidden="false" customHeight="false" outlineLevel="0" collapsed="false">
      <c r="A13" s="5" t="s">
        <v>15</v>
      </c>
      <c r="B13" s="7" t="n">
        <v>0.221</v>
      </c>
      <c r="C13" s="2"/>
    </row>
    <row r="14" customFormat="false" ht="15" hidden="false" customHeight="false" outlineLevel="0" collapsed="false">
      <c r="A14" s="5" t="s">
        <v>16</v>
      </c>
      <c r="B14" s="7" t="n">
        <v>0.065</v>
      </c>
      <c r="C14" s="2"/>
    </row>
    <row r="15" customFormat="false" ht="15" hidden="false" customHeight="false" outlineLevel="0" collapsed="false">
      <c r="A15" s="5" t="s">
        <v>17</v>
      </c>
      <c r="B15" s="7" t="n">
        <v>0.008</v>
      </c>
      <c r="C15" s="2"/>
    </row>
    <row r="16" customFormat="false" ht="15" hidden="false" customHeight="false" outlineLevel="0" collapsed="false">
      <c r="A16" s="5" t="s">
        <v>18</v>
      </c>
      <c r="B16" s="10" t="n">
        <f aca="false">SUM(B11:B15)</f>
        <v>1</v>
      </c>
    </row>
    <row r="18" customFormat="false" ht="15" hidden="false" customHeight="false" outlineLevel="0" collapsed="false">
      <c r="A18" s="3" t="s">
        <v>19</v>
      </c>
      <c r="B18" s="4"/>
      <c r="C18" s="4"/>
    </row>
    <row r="19" customFormat="false" ht="15" hidden="false" customHeight="false" outlineLevel="0" collapsed="false">
      <c r="A19" s="5" t="s">
        <v>20</v>
      </c>
      <c r="B19" s="11" t="n">
        <v>70</v>
      </c>
      <c r="C19" s="2" t="s">
        <v>21</v>
      </c>
    </row>
    <row r="20" customFormat="false" ht="15" hidden="false" customHeight="false" outlineLevel="0" collapsed="false">
      <c r="A20" s="5" t="s">
        <v>22</v>
      </c>
      <c r="B20" s="11" t="n">
        <v>55</v>
      </c>
      <c r="C20" s="2"/>
    </row>
    <row r="21" customFormat="false" ht="15" hidden="false" customHeight="false" outlineLevel="0" collapsed="false">
      <c r="A21" s="5" t="s">
        <v>23</v>
      </c>
      <c r="B21" s="11" t="n">
        <v>130</v>
      </c>
      <c r="C21" s="2"/>
    </row>
    <row r="22" customFormat="false" ht="15" hidden="false" customHeight="false" outlineLevel="0" collapsed="false">
      <c r="A22" s="5" t="s">
        <v>24</v>
      </c>
      <c r="B22" s="12" t="n">
        <f aca="false">SUM(B19:B21)</f>
        <v>255</v>
      </c>
    </row>
    <row r="24" customFormat="false" ht="15" hidden="false" customHeight="false" outlineLevel="0" collapsed="false">
      <c r="A24" s="3" t="s">
        <v>25</v>
      </c>
      <c r="B24" s="4"/>
      <c r="C24" s="4"/>
      <c r="D24" s="4"/>
      <c r="E24" s="4"/>
      <c r="F24" s="4"/>
      <c r="G24" s="4"/>
    </row>
    <row r="25" customFormat="false" ht="15" hidden="false" customHeight="false" outlineLevel="0" collapsed="false">
      <c r="B25" s="13" t="s">
        <v>12</v>
      </c>
      <c r="C25" s="13" t="s">
        <v>14</v>
      </c>
      <c r="D25" s="13" t="s">
        <v>15</v>
      </c>
      <c r="E25" s="13" t="s">
        <v>16</v>
      </c>
      <c r="F25" s="13" t="s">
        <v>17</v>
      </c>
    </row>
    <row r="26" customFormat="false" ht="15" hidden="false" customHeight="false" outlineLevel="0" collapsed="false">
      <c r="A26" s="5" t="s">
        <v>20</v>
      </c>
      <c r="B26" s="7" t="n">
        <v>0.18</v>
      </c>
      <c r="C26" s="7" t="n">
        <v>0.12</v>
      </c>
      <c r="D26" s="7" t="n">
        <v>0.08</v>
      </c>
      <c r="E26" s="7" t="n">
        <v>0.6</v>
      </c>
      <c r="F26" s="7" t="n">
        <v>0.25</v>
      </c>
      <c r="G26" s="2" t="s">
        <v>26</v>
      </c>
    </row>
    <row r="27" customFormat="false" ht="15" hidden="false" customHeight="false" outlineLevel="0" collapsed="false">
      <c r="A27" s="5" t="s">
        <v>22</v>
      </c>
      <c r="B27" s="7" t="n">
        <v>0.25</v>
      </c>
      <c r="C27" s="7" t="n">
        <v>0.15</v>
      </c>
      <c r="D27" s="7" t="n">
        <v>0.1</v>
      </c>
      <c r="E27" s="7" t="n">
        <v>0.5</v>
      </c>
      <c r="F27" s="7" t="n">
        <v>0.2</v>
      </c>
    </row>
    <row r="28" customFormat="false" ht="15" hidden="false" customHeight="false" outlineLevel="0" collapsed="false">
      <c r="A28" s="5" t="s">
        <v>23</v>
      </c>
      <c r="B28" s="7" t="n">
        <v>0.04</v>
      </c>
      <c r="C28" s="7" t="n">
        <v>0.03</v>
      </c>
      <c r="D28" s="7" t="n">
        <v>0.03</v>
      </c>
      <c r="E28" s="7" t="n">
        <v>0.25</v>
      </c>
      <c r="F28" s="7" t="n">
        <v>0.1</v>
      </c>
    </row>
    <row r="30" customFormat="false" ht="15" hidden="false" customHeight="false" outlineLevel="0" collapsed="false">
      <c r="A30" s="3" t="s">
        <v>27</v>
      </c>
      <c r="B30" s="4"/>
      <c r="C30" s="4"/>
    </row>
    <row r="31" customFormat="false" ht="15" hidden="false" customHeight="false" outlineLevel="0" collapsed="false">
      <c r="A31" s="5" t="s">
        <v>28</v>
      </c>
      <c r="B31" s="7" t="n">
        <v>0.5</v>
      </c>
      <c r="C31" s="2" t="s">
        <v>29</v>
      </c>
    </row>
    <row r="32" customFormat="false" ht="15" hidden="false" customHeight="false" outlineLevel="0" collapsed="false">
      <c r="A32" s="5" t="s">
        <v>30</v>
      </c>
      <c r="B32" s="7" t="n">
        <v>0.8</v>
      </c>
      <c r="C32" s="2" t="s">
        <v>31</v>
      </c>
    </row>
    <row r="34" customFormat="false" ht="15" hidden="false" customHeight="false" outlineLevel="0" collapsed="false">
      <c r="A34" s="3" t="s">
        <v>32</v>
      </c>
      <c r="B34" s="4"/>
      <c r="C34" s="4"/>
    </row>
    <row r="35" customFormat="false" ht="15" hidden="false" customHeight="false" outlineLevel="0" collapsed="false">
      <c r="A35" s="5" t="s">
        <v>33</v>
      </c>
      <c r="B35" s="7" t="n">
        <v>0.05</v>
      </c>
      <c r="C35" s="2" t="s">
        <v>34</v>
      </c>
    </row>
    <row r="36" customFormat="false" ht="15" hidden="false" customHeight="false" outlineLevel="0" collapsed="false">
      <c r="A36" s="5" t="s">
        <v>35</v>
      </c>
      <c r="B36" s="7" t="n">
        <v>0.065</v>
      </c>
      <c r="C36" s="2" t="s">
        <v>36</v>
      </c>
    </row>
    <row r="38" customFormat="false" ht="15" hidden="false" customHeight="false" outlineLevel="0" collapsed="false">
      <c r="A38" s="3" t="s">
        <v>37</v>
      </c>
      <c r="B38" s="4"/>
      <c r="C38" s="4"/>
      <c r="D38" s="4"/>
      <c r="E38" s="4"/>
      <c r="F38" s="4"/>
    </row>
    <row r="39" customFormat="false" ht="15" hidden="false" customHeight="false" outlineLevel="0" collapsed="false">
      <c r="A39" s="5" t="s">
        <v>38</v>
      </c>
      <c r="B39" s="14" t="n">
        <v>2028</v>
      </c>
      <c r="C39" s="14" t="n">
        <v>2029</v>
      </c>
      <c r="D39" s="14" t="n">
        <v>2030</v>
      </c>
      <c r="E39" s="14" t="n">
        <v>2031</v>
      </c>
      <c r="F39" s="14" t="n">
        <v>2032</v>
      </c>
    </row>
    <row r="40" customFormat="false" ht="15" hidden="false" customHeight="false" outlineLevel="0" collapsed="false">
      <c r="A40" s="5" t="s">
        <v>39</v>
      </c>
      <c r="B40" s="7" t="n">
        <v>0.005</v>
      </c>
      <c r="C40" s="7" t="n">
        <v>0.014</v>
      </c>
      <c r="D40" s="7" t="n">
        <v>0.027</v>
      </c>
      <c r="E40" s="7" t="n">
        <v>0.039</v>
      </c>
      <c r="F40" s="7" t="n">
        <v>0.048</v>
      </c>
      <c r="G40" s="2" t="s">
        <v>40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10" min="2" style="0" width="15"/>
  </cols>
  <sheetData>
    <row r="1" customFormat="false" ht="17.35" hidden="false" customHeight="false" outlineLevel="0" collapsed="false">
      <c r="A1" s="1" t="s">
        <v>41</v>
      </c>
    </row>
    <row r="4" customFormat="false" ht="23.85" hidden="false" customHeight="false" outlineLevel="0" collapsed="false">
      <c r="A4" s="15" t="s">
        <v>42</v>
      </c>
      <c r="B4" s="15" t="s">
        <v>43</v>
      </c>
      <c r="C4" s="15" t="s">
        <v>44</v>
      </c>
      <c r="D4" s="15" t="s">
        <v>45</v>
      </c>
      <c r="E4" s="15" t="s">
        <v>23</v>
      </c>
      <c r="F4" s="15" t="s">
        <v>46</v>
      </c>
      <c r="G4" s="15" t="s">
        <v>47</v>
      </c>
      <c r="H4" s="15" t="s">
        <v>48</v>
      </c>
      <c r="I4" s="15" t="s">
        <v>49</v>
      </c>
      <c r="J4" s="15" t="s">
        <v>50</v>
      </c>
    </row>
    <row r="5" customFormat="false" ht="15" hidden="false" customHeight="false" outlineLevel="0" collapsed="false">
      <c r="A5" s="5" t="s">
        <v>12</v>
      </c>
      <c r="B5" s="16" t="n">
        <f aca="false">Assumptions!$B$4*Assumptions!$B$11</f>
        <v>20.0552</v>
      </c>
      <c r="C5" s="17" t="n">
        <f aca="false">$B5*Assumptions!$B$19*Assumptions!B$26</f>
        <v>252.69552</v>
      </c>
      <c r="D5" s="17" t="n">
        <f aca="false">$B5*Assumptions!$B$20*Assumptions!B$27</f>
        <v>275.759</v>
      </c>
      <c r="E5" s="17" t="n">
        <f aca="false">$B5*Assumptions!$B$21*Assumptions!B$28</f>
        <v>104.28704</v>
      </c>
      <c r="F5" s="18" t="n">
        <f aca="false">SUM(C5:E5)</f>
        <v>632.74156</v>
      </c>
      <c r="G5" s="10" t="n">
        <f aca="false">F5/F$10</f>
        <v>0.589572188228205</v>
      </c>
      <c r="H5" s="18" t="n">
        <f aca="false">IFERROR(F5/B5,0)</f>
        <v>31.55</v>
      </c>
      <c r="I5" s="17" t="n">
        <f aca="false">B5*Assumptions!$B$22</f>
        <v>5114.076</v>
      </c>
      <c r="J5" s="10" t="n">
        <f aca="false">IFERROR(F5/I5,0)</f>
        <v>0.123725490196078</v>
      </c>
    </row>
    <row r="6" customFormat="false" ht="15" hidden="false" customHeight="false" outlineLevel="0" collapsed="false">
      <c r="A6" s="5" t="s">
        <v>14</v>
      </c>
      <c r="B6" s="16" t="n">
        <f aca="false">Assumptions!$B$4*Assumptions!$B$12</f>
        <v>4.2312</v>
      </c>
      <c r="C6" s="17" t="n">
        <f aca="false">$B6*Assumptions!$B$19*Assumptions!C$26</f>
        <v>35.54208</v>
      </c>
      <c r="D6" s="17" t="n">
        <f aca="false">$B6*Assumptions!$B$20*Assumptions!C$27</f>
        <v>34.9074</v>
      </c>
      <c r="E6" s="17" t="n">
        <f aca="false">$B6*Assumptions!$B$21*Assumptions!C$28</f>
        <v>16.50168</v>
      </c>
      <c r="F6" s="18" t="n">
        <f aca="false">SUM(C6:E6)</f>
        <v>86.95116</v>
      </c>
      <c r="G6" s="10" t="n">
        <f aca="false">F6/F$10</f>
        <v>0.0810188375648673</v>
      </c>
      <c r="H6" s="18" t="n">
        <f aca="false">IFERROR(F6/B6,0)</f>
        <v>20.55</v>
      </c>
      <c r="I6" s="17" t="n">
        <f aca="false">B6*Assumptions!$B$22</f>
        <v>1078.956</v>
      </c>
      <c r="J6" s="10" t="n">
        <f aca="false">IFERROR(F6/I6,0)</f>
        <v>0.0805882352941176</v>
      </c>
    </row>
    <row r="7" customFormat="false" ht="15" hidden="false" customHeight="false" outlineLevel="0" collapsed="false">
      <c r="A7" s="5" t="s">
        <v>15</v>
      </c>
      <c r="B7" s="16" t="n">
        <f aca="false">Assumptions!$B$4*Assumptions!$B$13</f>
        <v>7.6024</v>
      </c>
      <c r="C7" s="17" t="n">
        <f aca="false">$B7*Assumptions!$B$19*Assumptions!D$26</f>
        <v>42.57344</v>
      </c>
      <c r="D7" s="17" t="n">
        <f aca="false">$B7*Assumptions!$B$20*Assumptions!D$27</f>
        <v>41.8132</v>
      </c>
      <c r="E7" s="17" t="n">
        <f aca="false">$B7*Assumptions!$B$21*Assumptions!D$28</f>
        <v>29.64936</v>
      </c>
      <c r="F7" s="18" t="n">
        <f aca="false">SUM(C7:E7)</f>
        <v>114.036</v>
      </c>
      <c r="G7" s="10" t="n">
        <f aca="false">F7/F$10</f>
        <v>0.106255789578278</v>
      </c>
      <c r="H7" s="18" t="n">
        <f aca="false">IFERROR(F7/B7,0)</f>
        <v>15</v>
      </c>
      <c r="I7" s="17" t="n">
        <f aca="false">B7*Assumptions!$B$22</f>
        <v>1938.612</v>
      </c>
      <c r="J7" s="10" t="n">
        <f aca="false">IFERROR(F7/I7,0)</f>
        <v>0.0588235294117647</v>
      </c>
    </row>
    <row r="8" customFormat="false" ht="15" hidden="false" customHeight="false" outlineLevel="0" collapsed="false">
      <c r="A8" s="5" t="s">
        <v>16</v>
      </c>
      <c r="B8" s="16" t="n">
        <f aca="false">Assumptions!$B$4*Assumptions!$B$14</f>
        <v>2.236</v>
      </c>
      <c r="C8" s="17" t="n">
        <f aca="false">$B8*Assumptions!$B$19*Assumptions!E$26</f>
        <v>93.912</v>
      </c>
      <c r="D8" s="17" t="n">
        <f aca="false">$B8*Assumptions!$B$20*Assumptions!E$27</f>
        <v>61.49</v>
      </c>
      <c r="E8" s="17" t="n">
        <f aca="false">$B8*Assumptions!$B$21*Assumptions!E$28</f>
        <v>72.67</v>
      </c>
      <c r="F8" s="18" t="n">
        <f aca="false">SUM(C8:E8)</f>
        <v>228.072</v>
      </c>
      <c r="G8" s="10" t="n">
        <f aca="false">F8/F$10</f>
        <v>0.212511579156557</v>
      </c>
      <c r="H8" s="18" t="n">
        <f aca="false">IFERROR(F8/B8,0)</f>
        <v>102</v>
      </c>
      <c r="I8" s="17" t="n">
        <f aca="false">B8*Assumptions!$B$22</f>
        <v>570.18</v>
      </c>
      <c r="J8" s="10" t="n">
        <f aca="false">IFERROR(F8/I8,0)</f>
        <v>0.4</v>
      </c>
    </row>
    <row r="9" customFormat="false" ht="15" hidden="false" customHeight="false" outlineLevel="0" collapsed="false">
      <c r="A9" s="5" t="s">
        <v>17</v>
      </c>
      <c r="B9" s="16" t="n">
        <f aca="false">Assumptions!$B$4*Assumptions!$B$15</f>
        <v>0.2752</v>
      </c>
      <c r="C9" s="17" t="n">
        <f aca="false">$B9*Assumptions!$B$19*Assumptions!F$26</f>
        <v>4.816</v>
      </c>
      <c r="D9" s="17" t="n">
        <f aca="false">$B9*Assumptions!$B$20*Assumptions!F$27</f>
        <v>3.0272</v>
      </c>
      <c r="E9" s="17" t="n">
        <f aca="false">$B9*Assumptions!$B$21*Assumptions!F$28</f>
        <v>3.5776</v>
      </c>
      <c r="F9" s="18" t="n">
        <f aca="false">SUM(C9:E9)</f>
        <v>11.4208</v>
      </c>
      <c r="G9" s="10" t="n">
        <f aca="false">F9/F$10</f>
        <v>0.010641605472093</v>
      </c>
      <c r="H9" s="18" t="n">
        <f aca="false">IFERROR(F9/B9,0)</f>
        <v>41.5</v>
      </c>
      <c r="I9" s="17" t="n">
        <f aca="false">B9*Assumptions!$B$22</f>
        <v>70.176</v>
      </c>
      <c r="J9" s="10" t="n">
        <f aca="false">IFERROR(F9/I9,0)</f>
        <v>0.162745098039216</v>
      </c>
    </row>
    <row r="10" customFormat="false" ht="15" hidden="false" customHeight="false" outlineLevel="0" collapsed="false">
      <c r="A10" s="13" t="s">
        <v>51</v>
      </c>
      <c r="B10" s="19" t="n">
        <f aca="false">SUM(B5:B9)</f>
        <v>34.4</v>
      </c>
      <c r="C10" s="19" t="n">
        <f aca="false">SUM(C5:C9)</f>
        <v>429.53904</v>
      </c>
      <c r="D10" s="19" t="n">
        <f aca="false">SUM(D5:D9)</f>
        <v>416.9968</v>
      </c>
      <c r="E10" s="19" t="n">
        <f aca="false">SUM(E5:E9)</f>
        <v>226.68568</v>
      </c>
      <c r="F10" s="19" t="n">
        <f aca="false">SUM(F5:F9)</f>
        <v>1073.22152</v>
      </c>
      <c r="G10" s="20" t="n">
        <f aca="false">SUM(G5:G9)</f>
        <v>1</v>
      </c>
      <c r="H10" s="19" t="n">
        <f aca="false">F10/B10</f>
        <v>31.1983</v>
      </c>
      <c r="I10" s="19" t="n">
        <f aca="false">SUM(I5:I9)</f>
        <v>8772</v>
      </c>
      <c r="J10" s="20" t="n">
        <f aca="false">F10/I10</f>
        <v>0.122346274509804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5" min="2" style="0" width="12"/>
    <col collapsed="false" customWidth="true" hidden="false" outlineLevel="0" max="6" min="6" style="0" width="14"/>
    <col collapsed="false" customWidth="true" hidden="false" outlineLevel="0" max="9" min="7" style="0" width="12"/>
  </cols>
  <sheetData>
    <row r="1" customFormat="false" ht="17.35" hidden="false" customHeight="false" outlineLevel="0" collapsed="false">
      <c r="A1" s="1" t="s">
        <v>52</v>
      </c>
    </row>
    <row r="4" customFormat="false" ht="15" hidden="false" customHeight="false" outlineLevel="0" collapsed="false">
      <c r="A4" s="3" t="s">
        <v>53</v>
      </c>
      <c r="B4" s="3" t="s">
        <v>54</v>
      </c>
      <c r="C4" s="3" t="s">
        <v>55</v>
      </c>
      <c r="D4" s="3" t="s">
        <v>56</v>
      </c>
      <c r="E4" s="3" t="s">
        <v>57</v>
      </c>
      <c r="F4" s="3" t="s">
        <v>58</v>
      </c>
    </row>
    <row r="5" customFormat="false" ht="15" hidden="false" customHeight="false" outlineLevel="0" collapsed="false">
      <c r="A5" s="13" t="s">
        <v>59</v>
      </c>
      <c r="B5" s="17" t="n">
        <f aca="false">Assumptions!B4*Assumptions!B22</f>
        <v>8772</v>
      </c>
      <c r="C5" s="17" t="n">
        <f aca="false">B5/Assumptions!$B$6</f>
        <v>2064</v>
      </c>
      <c r="D5" s="21" t="n">
        <f aca="false">B5*Assumptions!$B$7/10</f>
        <v>17982.6</v>
      </c>
      <c r="E5" s="10" t="n">
        <f aca="false">B5/$B$5</f>
        <v>1</v>
      </c>
      <c r="F5" s="2" t="s">
        <v>60</v>
      </c>
    </row>
    <row r="6" customFormat="false" ht="15" hidden="false" customHeight="false" outlineLevel="0" collapsed="false">
      <c r="A6" s="13" t="s">
        <v>61</v>
      </c>
      <c r="B6" s="17" t="n">
        <f aca="false">Segments!F10</f>
        <v>1073.22152</v>
      </c>
      <c r="C6" s="17" t="n">
        <f aca="false">B6/Assumptions!$B$6</f>
        <v>252.522710588235</v>
      </c>
      <c r="D6" s="21" t="n">
        <f aca="false">B6*Assumptions!$B$7/10</f>
        <v>2200.104116</v>
      </c>
      <c r="E6" s="10" t="n">
        <f aca="false">B6/$B$5</f>
        <v>0.122346274509804</v>
      </c>
      <c r="F6" s="2" t="s">
        <v>62</v>
      </c>
    </row>
    <row r="7" customFormat="false" ht="15" hidden="false" customHeight="false" outlineLevel="0" collapsed="false">
      <c r="A7" s="13" t="s">
        <v>63</v>
      </c>
      <c r="B7" s="17" t="n">
        <f aca="false">B6*Assumptions!B31</f>
        <v>536.61076</v>
      </c>
      <c r="C7" s="17" t="n">
        <f aca="false">B7/Assumptions!$B$6</f>
        <v>126.261355294118</v>
      </c>
      <c r="D7" s="21" t="n">
        <f aca="false">B7*Assumptions!$B$7/10</f>
        <v>1100.052058</v>
      </c>
      <c r="E7" s="10" t="n">
        <f aca="false">B7/$B$5</f>
        <v>0.061173137254902</v>
      </c>
      <c r="F7" s="2" t="s">
        <v>64</v>
      </c>
    </row>
    <row r="8" customFormat="false" ht="15" hidden="false" customHeight="false" outlineLevel="0" collapsed="false">
      <c r="A8" s="13" t="s">
        <v>65</v>
      </c>
      <c r="B8" s="17" t="n">
        <f aca="false">B7*Assumptions!B32</f>
        <v>429.288608</v>
      </c>
      <c r="C8" s="17" t="n">
        <f aca="false">B8/Assumptions!$B$6</f>
        <v>101.009084235294</v>
      </c>
      <c r="D8" s="21" t="n">
        <f aca="false">B8*Assumptions!$B$7/10</f>
        <v>880.0416464</v>
      </c>
      <c r="E8" s="10" t="n">
        <f aca="false">B8/$B$5</f>
        <v>0.0489385098039216</v>
      </c>
      <c r="F8" s="2" t="s">
        <v>66</v>
      </c>
    </row>
    <row r="9" customFormat="false" ht="15" hidden="false" customHeight="false" outlineLevel="0" collapsed="false">
      <c r="A9" s="13" t="s">
        <v>67</v>
      </c>
      <c r="B9" s="18" t="n">
        <f aca="false">I16</f>
        <v>30.0668719370192</v>
      </c>
      <c r="C9" s="17" t="n">
        <f aca="false">B9/Assumptions!$B$6</f>
        <v>7.07455810282805</v>
      </c>
      <c r="D9" s="21" t="n">
        <f aca="false">B9*Assumptions!$B$7/10</f>
        <v>61.6370874708894</v>
      </c>
      <c r="E9" s="10" t="n">
        <f aca="false">B9/$B$5</f>
        <v>0.00342759598005235</v>
      </c>
      <c r="F9" s="2" t="s">
        <v>68</v>
      </c>
    </row>
    <row r="12" customFormat="false" ht="15" hidden="false" customHeight="false" outlineLevel="0" collapsed="false">
      <c r="A12" s="13" t="s">
        <v>38</v>
      </c>
      <c r="C12" s="14" t="n">
        <v>2026</v>
      </c>
      <c r="D12" s="14" t="n">
        <v>2027</v>
      </c>
      <c r="E12" s="14" t="n">
        <v>2028</v>
      </c>
      <c r="F12" s="14" t="n">
        <v>2029</v>
      </c>
      <c r="G12" s="14" t="n">
        <v>2030</v>
      </c>
      <c r="H12" s="14" t="n">
        <v>2031</v>
      </c>
      <c r="I12" s="14" t="n">
        <v>2032</v>
      </c>
    </row>
    <row r="13" customFormat="false" ht="15" hidden="false" customHeight="false" outlineLevel="0" collapsed="false">
      <c r="A13" s="5" t="s">
        <v>69</v>
      </c>
      <c r="C13" s="17" t="n">
        <f aca="false">$B$5*(1+Assumptions!$B$35)^(C$12-Assumptions!$B$8)</f>
        <v>8772</v>
      </c>
      <c r="D13" s="17" t="n">
        <f aca="false">$B$5*(1+Assumptions!$B$35)^(D$12-Assumptions!$B$8)</f>
        <v>9210.6</v>
      </c>
      <c r="E13" s="17" t="n">
        <f aca="false">$B$5*(1+Assumptions!$B$35)^(E$12-Assumptions!$B$8)</f>
        <v>9671.13</v>
      </c>
      <c r="F13" s="17" t="n">
        <f aca="false">$B$5*(1+Assumptions!$B$35)^(F$12-Assumptions!$B$8)</f>
        <v>10154.6865</v>
      </c>
      <c r="G13" s="17" t="n">
        <f aca="false">$B$5*(1+Assumptions!$B$35)^(G$12-Assumptions!$B$8)</f>
        <v>10662.420825</v>
      </c>
      <c r="H13" s="17" t="n">
        <f aca="false">$B$5*(1+Assumptions!$B$35)^(H$12-Assumptions!$B$8)</f>
        <v>11195.54186625</v>
      </c>
      <c r="I13" s="17" t="n">
        <f aca="false">$B$5*(1+Assumptions!$B$35)^(I$12-Assumptions!$B$8)</f>
        <v>11755.3189595625</v>
      </c>
    </row>
    <row r="14" customFormat="false" ht="15" hidden="false" customHeight="false" outlineLevel="0" collapsed="false">
      <c r="A14" s="5" t="s">
        <v>70</v>
      </c>
      <c r="C14" s="17" t="n">
        <f aca="false">$B$8*(1+Assumptions!$B$36)^(C$12-Assumptions!$B$8)</f>
        <v>429.288608</v>
      </c>
      <c r="D14" s="17" t="n">
        <f aca="false">$B$8*(1+Assumptions!$B$36)^(D$12-Assumptions!$B$8)</f>
        <v>457.19236752</v>
      </c>
      <c r="E14" s="17" t="n">
        <f aca="false">$B$8*(1+Assumptions!$B$36)^(E$12-Assumptions!$B$8)</f>
        <v>486.9098714088</v>
      </c>
      <c r="F14" s="17" t="n">
        <f aca="false">$B$8*(1+Assumptions!$B$36)^(F$12-Assumptions!$B$8)</f>
        <v>518.559013050372</v>
      </c>
      <c r="G14" s="17" t="n">
        <f aca="false">$B$8*(1+Assumptions!$B$36)^(G$12-Assumptions!$B$8)</f>
        <v>552.265348898646</v>
      </c>
      <c r="H14" s="17" t="n">
        <f aca="false">$B$8*(1+Assumptions!$B$36)^(H$12-Assumptions!$B$8)</f>
        <v>588.162596577058</v>
      </c>
      <c r="I14" s="17" t="n">
        <f aca="false">$B$8*(1+Assumptions!$B$36)^(I$12-Assumptions!$B$8)</f>
        <v>626.393165354567</v>
      </c>
    </row>
    <row r="15" customFormat="false" ht="15" hidden="false" customHeight="false" outlineLevel="0" collapsed="false">
      <c r="A15" s="5" t="s">
        <v>71</v>
      </c>
      <c r="C15" s="22" t="n">
        <f aca="false">IFERROR(INDEX(Assumptions!$B$40:$F$40,MATCH(C$12,Assumptions!$B$39:$F$39,0)),0)</f>
        <v>0</v>
      </c>
      <c r="D15" s="22" t="n">
        <f aca="false">IFERROR(INDEX(Assumptions!$B$40:$F$40,MATCH(D$12,Assumptions!$B$39:$F$39,0)),0)</f>
        <v>0</v>
      </c>
      <c r="E15" s="22" t="n">
        <f aca="false">IFERROR(INDEX(Assumptions!$B$40:$F$40,MATCH(E$12,Assumptions!$B$39:$F$39,0)),0)</f>
        <v>0.005</v>
      </c>
      <c r="F15" s="22" t="n">
        <f aca="false">IFERROR(INDEX(Assumptions!$B$40:$F$40,MATCH(F$12,Assumptions!$B$39:$F$39,0)),0)</f>
        <v>0.014</v>
      </c>
      <c r="G15" s="22" t="n">
        <f aca="false">IFERROR(INDEX(Assumptions!$B$40:$F$40,MATCH(G$12,Assumptions!$B$39:$F$39,0)),0)</f>
        <v>0.027</v>
      </c>
      <c r="H15" s="22" t="n">
        <f aca="false">IFERROR(INDEX(Assumptions!$B$40:$F$40,MATCH(H$12,Assumptions!$B$39:$F$39,0)),0)</f>
        <v>0.039</v>
      </c>
      <c r="I15" s="22" t="n">
        <f aca="false">IFERROR(INDEX(Assumptions!$B$40:$F$40,MATCH(I$12,Assumptions!$B$39:$F$39,0)),0)</f>
        <v>0.048</v>
      </c>
    </row>
    <row r="16" customFormat="false" ht="15" hidden="false" customHeight="false" outlineLevel="0" collapsed="false">
      <c r="A16" s="5" t="s">
        <v>72</v>
      </c>
      <c r="C16" s="23" t="n">
        <f aca="false">C14*C15</f>
        <v>0</v>
      </c>
      <c r="D16" s="23" t="n">
        <f aca="false">D14*D15</f>
        <v>0</v>
      </c>
      <c r="E16" s="23" t="n">
        <f aca="false">E14*E15</f>
        <v>2.434549357044</v>
      </c>
      <c r="F16" s="23" t="n">
        <f aca="false">F14*F15</f>
        <v>7.25982618270521</v>
      </c>
      <c r="G16" s="23" t="n">
        <f aca="false">G14*G15</f>
        <v>14.9111644202634</v>
      </c>
      <c r="H16" s="23" t="n">
        <f aca="false">H14*H15</f>
        <v>22.9383412665053</v>
      </c>
      <c r="I16" s="23" t="n">
        <f aca="false">I14*I15</f>
        <v>30.0668719370192</v>
      </c>
    </row>
    <row r="17" customFormat="false" ht="15" hidden="false" customHeight="false" outlineLevel="0" collapsed="false">
      <c r="A17" s="5" t="s">
        <v>73</v>
      </c>
      <c r="C17" s="16" t="n">
        <f aca="false">C16/Assumptions!$B$6</f>
        <v>0</v>
      </c>
      <c r="D17" s="16" t="n">
        <f aca="false">D16/Assumptions!$B$6</f>
        <v>0</v>
      </c>
      <c r="E17" s="16" t="n">
        <f aca="false">E16/Assumptions!$B$6</f>
        <v>0.572835142833882</v>
      </c>
      <c r="F17" s="16" t="n">
        <f aca="false">F16/Assumptions!$B$6</f>
        <v>1.70819439593064</v>
      </c>
      <c r="G17" s="16" t="n">
        <f aca="false">G16/Assumptions!$B$6</f>
        <v>3.50850927535611</v>
      </c>
      <c r="H17" s="16" t="n">
        <f aca="false">H16/Assumptions!$B$6</f>
        <v>5.39725676858948</v>
      </c>
      <c r="I17" s="16" t="n">
        <f aca="false">I16/Assumptions!$B$6</f>
        <v>7.07455810282805</v>
      </c>
    </row>
    <row r="18" customFormat="false" ht="15" hidden="false" customHeight="false" outlineLevel="0" collapsed="false">
      <c r="A18" s="5" t="s">
        <v>74</v>
      </c>
      <c r="C18" s="17" t="n">
        <f aca="false">C16*Assumptions!$B$7/10</f>
        <v>0</v>
      </c>
      <c r="D18" s="17" t="n">
        <f aca="false">D16*Assumptions!$B$7/10</f>
        <v>0</v>
      </c>
      <c r="E18" s="17" t="n">
        <f aca="false">E16*Assumptions!$B$7/10</f>
        <v>4.9908261819402</v>
      </c>
      <c r="F18" s="17" t="n">
        <f aca="false">F16*Assumptions!$B$7/10</f>
        <v>14.8826436745457</v>
      </c>
      <c r="G18" s="17" t="n">
        <f aca="false">G16*Assumptions!$B$7/10</f>
        <v>30.5678870615401</v>
      </c>
      <c r="H18" s="17" t="n">
        <f aca="false">H16*Assumptions!$B$7/10</f>
        <v>47.0235995963358</v>
      </c>
      <c r="I18" s="17" t="n">
        <f aca="false">I16*Assumptions!$B$7/10</f>
        <v>61.6370874708894</v>
      </c>
    </row>
    <row r="19" customFormat="false" ht="15" hidden="false" customHeight="false" outlineLevel="0" collapsed="false">
      <c r="A19" s="5" t="s">
        <v>75</v>
      </c>
      <c r="C19" s="10" t="n">
        <f aca="false">C14/C13</f>
        <v>0.0489385098039216</v>
      </c>
      <c r="D19" s="10" t="n">
        <f aca="false">D14/D13</f>
        <v>0.049637631372549</v>
      </c>
      <c r="E19" s="10" t="n">
        <f aca="false">E14/E13</f>
        <v>0.0503467403921569</v>
      </c>
      <c r="F19" s="10" t="n">
        <f aca="false">F14/F13</f>
        <v>0.0510659795406162</v>
      </c>
      <c r="G19" s="10" t="n">
        <f aca="false">G14/G13</f>
        <v>0.0517954935340536</v>
      </c>
      <c r="H19" s="10" t="n">
        <f aca="false">H14/H13</f>
        <v>0.0525354291559687</v>
      </c>
      <c r="I19" s="10" t="n">
        <f aca="false">I14/I13</f>
        <v>0.0532859352867682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14"/>
    <col collapsed="false" customWidth="true" hidden="false" outlineLevel="0" max="3" min="3" style="0" width="60"/>
  </cols>
  <sheetData>
    <row r="1" customFormat="false" ht="17.35" hidden="false" customHeight="false" outlineLevel="0" collapsed="false">
      <c r="A1" s="1" t="s">
        <v>76</v>
      </c>
    </row>
    <row r="4" customFormat="false" ht="15" hidden="false" customHeight="false" outlineLevel="0" collapsed="false">
      <c r="A4" s="5" t="s">
        <v>77</v>
      </c>
      <c r="B4" s="8" t="n">
        <v>132.27</v>
      </c>
      <c r="C4" s="2" t="s">
        <v>78</v>
      </c>
    </row>
    <row r="5" customFormat="false" ht="15" hidden="false" customHeight="false" outlineLevel="0" collapsed="false">
      <c r="A5" s="5" t="s">
        <v>79</v>
      </c>
      <c r="B5" s="7" t="n">
        <v>0.412</v>
      </c>
      <c r="C5" s="2" t="s">
        <v>80</v>
      </c>
    </row>
    <row r="6" customFormat="false" ht="15" hidden="false" customHeight="false" outlineLevel="0" collapsed="false">
      <c r="A6" s="5" t="s">
        <v>81</v>
      </c>
      <c r="B6" s="23" t="n">
        <f aca="false">B4*B5</f>
        <v>54.49524</v>
      </c>
    </row>
    <row r="7" customFormat="false" ht="15" hidden="false" customHeight="false" outlineLevel="0" collapsed="false">
      <c r="A7" s="5" t="s">
        <v>82</v>
      </c>
      <c r="B7" s="17" t="n">
        <f aca="false">B6*Assumptions!B6</f>
        <v>231.60477</v>
      </c>
    </row>
    <row r="8" customFormat="false" ht="15" hidden="false" customHeight="false" outlineLevel="0" collapsed="false">
      <c r="A8" s="5" t="s">
        <v>83</v>
      </c>
      <c r="B8" s="16" t="n">
        <f aca="false">Funnel!B5/1000</f>
        <v>8.772</v>
      </c>
    </row>
    <row r="9" customFormat="false" ht="15" hidden="false" customHeight="false" outlineLevel="0" collapsed="false">
      <c r="A9" s="13" t="s">
        <v>84</v>
      </c>
      <c r="B9" s="20" t="n">
        <f aca="false">B8/B7</f>
        <v>0.0378748676031154</v>
      </c>
    </row>
    <row r="10" customFormat="false" ht="15" hidden="false" customHeight="false" outlineLevel="0" collapsed="false">
      <c r="A10" s="5" t="s">
        <v>85</v>
      </c>
      <c r="B10" s="24" t="n">
        <f aca="false">Funnel!B8/1000/B7</f>
        <v>0.0018535395795173</v>
      </c>
    </row>
    <row r="12" customFormat="false" ht="15" hidden="false" customHeight="false" outlineLevel="0" collapsed="false">
      <c r="A12" s="2" t="s">
        <v>86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0"/>
    <col collapsed="false" customWidth="true" hidden="false" outlineLevel="0" max="2" min="2" style="0" width="55"/>
    <col collapsed="false" customWidth="true" hidden="false" outlineLevel="0" max="3" min="3" style="0" width="26"/>
  </cols>
  <sheetData>
    <row r="1" customFormat="false" ht="17.35" hidden="false" customHeight="false" outlineLevel="0" collapsed="false">
      <c r="A1" s="1" t="s">
        <v>87</v>
      </c>
    </row>
    <row r="3" customFormat="false" ht="15" hidden="false" customHeight="false" outlineLevel="0" collapsed="false">
      <c r="A3" s="3" t="s">
        <v>88</v>
      </c>
      <c r="B3" s="3" t="s">
        <v>89</v>
      </c>
      <c r="C3" s="3" t="s">
        <v>90</v>
      </c>
    </row>
    <row r="4" customFormat="false" ht="15" hidden="false" customHeight="false" outlineLevel="0" collapsed="false">
      <c r="A4" s="25" t="s">
        <v>91</v>
      </c>
      <c r="B4" s="25" t="s">
        <v>92</v>
      </c>
      <c r="C4" s="25" t="s">
        <v>93</v>
      </c>
    </row>
    <row r="5" customFormat="false" ht="15" hidden="false" customHeight="false" outlineLevel="0" collapsed="false">
      <c r="A5" s="25" t="s">
        <v>94</v>
      </c>
      <c r="B5" s="25" t="s">
        <v>95</v>
      </c>
      <c r="C5" s="25" t="s">
        <v>93</v>
      </c>
    </row>
    <row r="6" customFormat="false" ht="15" hidden="false" customHeight="false" outlineLevel="0" collapsed="false">
      <c r="A6" s="25" t="s">
        <v>96</v>
      </c>
      <c r="B6" s="25" t="s">
        <v>97</v>
      </c>
      <c r="C6" s="25" t="s">
        <v>98</v>
      </c>
    </row>
    <row r="7" customFormat="false" ht="15" hidden="false" customHeight="false" outlineLevel="0" collapsed="false">
      <c r="A7" s="25" t="s">
        <v>99</v>
      </c>
      <c r="B7" s="25" t="s">
        <v>100</v>
      </c>
      <c r="C7" s="25" t="s">
        <v>101</v>
      </c>
    </row>
    <row r="8" customFormat="false" ht="23.85" hidden="false" customHeight="false" outlineLevel="0" collapsed="false">
      <c r="A8" s="25" t="s">
        <v>102</v>
      </c>
      <c r="B8" s="25" t="s">
        <v>103</v>
      </c>
      <c r="C8" s="25" t="s">
        <v>104</v>
      </c>
    </row>
    <row r="9" customFormat="false" ht="23.85" hidden="false" customHeight="false" outlineLevel="0" collapsed="false">
      <c r="A9" s="25" t="s">
        <v>105</v>
      </c>
      <c r="B9" s="25" t="s">
        <v>106</v>
      </c>
      <c r="C9" s="25" t="s">
        <v>93</v>
      </c>
    </row>
    <row r="10" customFormat="false" ht="23.85" hidden="false" customHeight="false" outlineLevel="0" collapsed="false">
      <c r="A10" s="25" t="s">
        <v>107</v>
      </c>
      <c r="B10" s="25" t="s">
        <v>108</v>
      </c>
      <c r="C10" s="25" t="s">
        <v>109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2026-10-12T19:31:33Z</dcterms:created>
  <dc:creator>openpyxl</dc:creator>
  <dc:description/>
  <dc:language>en-US</dc:language>
  <cp:lastModifiedBy/>
  <dcterms:modified xsi:type="dcterms:W3CDTF">2026-10-12T19:31:33Z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