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Model_Bear" sheetId="3" state="visible" r:id="rId5"/>
    <sheet name="Model_Base" sheetId="4" state="visible" r:id="rId6"/>
    <sheet name="Model_Bull" sheetId="5" state="visible" r:id="rId7"/>
    <sheet name="Mode_Compare" sheetId="6" state="visible" r:id="rId8"/>
    <sheet name="Entry_Scorecard" sheetId="7" state="visible" r:id="rId9"/>
    <sheet name="Sensitivity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<sst xmlns="http://schemas.openxmlformats.org/spreadsheetml/2006/main" count="607" uniqueCount="240">
  <si>
    <t xml:space="preserve">Saffron Route Foods - Malaysia entry: financial summary (MYR m)</t>
  </si>
  <si>
    <t xml:space="preserve">Recommended path: partner-led retail + digital layer, stage-gated. Scenario sheets are fully live; the sensitivity table is a pasted run of this model (see Sensitivity).</t>
  </si>
  <si>
    <t xml:space="preserve">Metric</t>
  </si>
  <si>
    <t xml:space="preserve">Bear</t>
  </si>
  <si>
    <t xml:space="preserve">Base</t>
  </si>
  <si>
    <t xml:space="preserve">Bull</t>
  </si>
  <si>
    <t xml:space="preserve">Prob-weighted</t>
  </si>
  <si>
    <t xml:space="preserve">NPV incl. terminal value</t>
  </si>
  <si>
    <t xml:space="preserve">NPV - exit-multiple cross-check</t>
  </si>
  <si>
    <t xml:space="preserve">NPV - explicit 5 years only</t>
  </si>
  <si>
    <t xml:space="preserve">IRR incl. terminal value</t>
  </si>
  <si>
    <t xml:space="preserve">IRR - exit-multiple cross-check</t>
  </si>
  <si>
    <t xml:space="preserve">Year-5 revenue</t>
  </si>
  <si>
    <t xml:space="preserve">Year-5 EBIT margin</t>
  </si>
  <si>
    <t xml:space="preserve">Peak funding need</t>
  </si>
  <si>
    <t xml:space="preserve">Operating break-even year</t>
  </si>
  <si>
    <t xml:space="preserve">Cash payback year</t>
  </si>
  <si>
    <t xml:space="preserve">Terminal value % of NPV</t>
  </si>
  <si>
    <t xml:space="preserve">Base case: Year-5 share of SAM</t>
  </si>
  <si>
    <t xml:space="preserve">Base case: Year-5 revenue vs top-down SOM</t>
  </si>
  <si>
    <t xml:space="preserve">Base case: Year-5 revenue (INR crore)</t>
  </si>
  <si>
    <t xml:space="preserve">Base case by year</t>
  </si>
  <si>
    <t xml:space="preserve">Y0 2027</t>
  </si>
  <si>
    <t xml:space="preserve">Y1 2028</t>
  </si>
  <si>
    <t xml:space="preserve">Y2 2029</t>
  </si>
  <si>
    <t xml:space="preserve">Y3 2030</t>
  </si>
  <si>
    <t xml:space="preserve">Y4 2031</t>
  </si>
  <si>
    <t xml:space="preserve">Y5 2032</t>
  </si>
  <si>
    <t xml:space="preserve">Revenue</t>
  </si>
  <si>
    <t xml:space="preserve">Gross profit</t>
  </si>
  <si>
    <t xml:space="preserve">EBITDA</t>
  </si>
  <si>
    <t xml:space="preserve">EBIT</t>
  </si>
  <si>
    <t xml:space="preserve">Free cash flow</t>
  </si>
  <si>
    <t xml:space="preserve">Cumulative FCF</t>
  </si>
  <si>
    <t xml:space="preserve">Entry-mode NPV incl. terminal value (MYR m)</t>
  </si>
  <si>
    <t xml:space="preserve">Direct entry (own subsidiary)</t>
  </si>
  <si>
    <t xml:space="preserve">Local distribution partnership</t>
  </si>
  <si>
    <t xml:space="preserve">Joint venture (51:49)</t>
  </si>
  <si>
    <t xml:space="preserve">Digital-first (marketplace + D2C)</t>
  </si>
  <si>
    <t xml:space="preserve">Recommended hybrid</t>
  </si>
  <si>
    <t xml:space="preserve">Revenue by scenario</t>
  </si>
  <si>
    <t xml:space="preserve">Saffron Route Foods - Malaysia entry: assumptions (MYR m unless stated)</t>
  </si>
  <si>
    <t xml:space="preserve">Blue = input; black = formula; green = cross-sheet link. Change inputs here only. Notes flag judgement vs sourced data.</t>
  </si>
  <si>
    <t xml:space="preserve">General and valuation</t>
  </si>
  <si>
    <t xml:space="preserve">INR per MYR (display only)</t>
  </si>
  <si>
    <t xml:space="preserve">ASSUMPTION - update to spot</t>
  </si>
  <si>
    <t xml:space="preserve">Discount rate (WACC, MYR)</t>
  </si>
  <si>
    <t xml:space="preserve">JUDGEMENT: 12% hurdle for emerging-market FMCG entry</t>
  </si>
  <si>
    <t xml:space="preserve">Terminal growth</t>
  </si>
  <si>
    <t xml:space="preserve">JUDGEMENT: ~inflation</t>
  </si>
  <si>
    <t xml:space="preserve">Corporate tax rate</t>
  </si>
  <si>
    <t xml:space="preserve">Malaysian statutory rate (confirm with tax adviser); losses carried forward</t>
  </si>
  <si>
    <t xml:space="preserve">Net working capital % revenue</t>
  </si>
  <si>
    <t xml:space="preserve">JUDGEMENT: ~55 days inventory+receivables net of payables</t>
  </si>
  <si>
    <t xml:space="preserve">Exit multiple (EV / Year-5 EBITDA) for cross-check</t>
  </si>
  <si>
    <t xml:space="preserve">JUDGEMENT: deliberately conservative for a sub-scale entrant</t>
  </si>
  <si>
    <t xml:space="preserve">Asset life (years)</t>
  </si>
  <si>
    <t xml:space="preserve">Straight-line</t>
  </si>
  <si>
    <t xml:space="preserve">Pre-launch set-up cost, Y0 (MYR m)</t>
  </si>
  <si>
    <t xml:space="preserve">Halal certification, product registration, label/pack adaptation, entity set-up, shelf audit</t>
  </si>
  <si>
    <t xml:space="preserve">Online unit economics</t>
  </si>
  <si>
    <t xml:space="preserve">Annual customer retention</t>
  </si>
  <si>
    <t xml:space="preserve">JUDGEMENT</t>
  </si>
  <si>
    <t xml:space="preserve">Orders per active customer per year</t>
  </si>
  <si>
    <t xml:space="preserve">Average order value (MYR)</t>
  </si>
  <si>
    <t xml:space="preserve">JUDGEMENT: 4-5 packs per basket</t>
  </si>
  <si>
    <t xml:space="preserve">Marketplace commission + fulfilment (% online revenue)</t>
  </si>
  <si>
    <t xml:space="preserve">JUDGEMENT: commission, payment, 3PL</t>
  </si>
  <si>
    <t xml:space="preserve">Landed COGS (% of net revenue)</t>
  </si>
  <si>
    <t xml:space="preserve">Retail via distributor</t>
  </si>
  <si>
    <t xml:space="preserve">Ex-works + freight + duty + halal; net of distributor and retailer margin</t>
  </si>
  <si>
    <t xml:space="preserve">Online</t>
  </si>
  <si>
    <t xml:space="preserve">Higher price realisation, no distributor</t>
  </si>
  <si>
    <t xml:space="preserve">Foodservice (bulk packs)</t>
  </si>
  <si>
    <t xml:space="preserve">Lower price per kg</t>
  </si>
  <si>
    <t xml:space="preserve">Scenario probabilities</t>
  </si>
  <si>
    <t xml:space="preserve">Operating drivers by year (base case; Y0 in column C where relevant)</t>
  </si>
  <si>
    <t xml:space="preserve">Retail doors at year-end (distributor-served)</t>
  </si>
  <si>
    <t xml:space="preserve">JUDGEMENT; Modern trade + ethnic grocers + convenience</t>
  </si>
  <si>
    <t xml:space="preserve">Avg monthly net sales per door (MYR)</t>
  </si>
  <si>
    <t xml:space="preserve">~85-100 packs/door/month at ~MYR5 net per pack</t>
  </si>
  <si>
    <t xml:space="preserve">Foodservice / B2B net revenue (MYR m)</t>
  </si>
  <si>
    <t xml:space="preserve">Mamak/restaurant chains, cloud kitchens</t>
  </si>
  <si>
    <t xml:space="preserve">New online customers acquired</t>
  </si>
  <si>
    <t xml:space="preserve">Marketplaces + TikTok Shop + D2C</t>
  </si>
  <si>
    <t xml:space="preserve">Blended CAC (MYR per new customer)</t>
  </si>
  <si>
    <t xml:space="preserve">Trade and brand spend (% retail + foodservice revenue)</t>
  </si>
  <si>
    <t xml:space="preserve">Promotions, listing fees, brand</t>
  </si>
  <si>
    <t xml:space="preserve">Distribution and logistics (% retail + foodservice revenue)</t>
  </si>
  <si>
    <t xml:space="preserve">3PL, bonded storage, cold chain</t>
  </si>
  <si>
    <t xml:space="preserve">Local team cost (MYR m)</t>
  </si>
  <si>
    <t xml:space="preserve">Country manager, sales, trade marketing, regulatory, finance</t>
  </si>
  <si>
    <t xml:space="preserve">G&amp;A and compliance (MYR m)</t>
  </si>
  <si>
    <t xml:space="preserve">Audits, halal renewals, insurance, office</t>
  </si>
  <si>
    <t xml:space="preserve">Capex (MYR m)</t>
  </si>
  <si>
    <t xml:space="preserve">Fixtures, chillers, IT</t>
  </si>
  <si>
    <t xml:space="preserve">SAM (MYR m) from 02_Market_Sizing_Model</t>
  </si>
  <si>
    <t xml:space="preserve">Linked by value; re-paste if 02 changes</t>
  </si>
  <si>
    <t xml:space="preserve">SOM (MYR m) from 02_Market_Sizing_Model</t>
  </si>
  <si>
    <t xml:space="preserve">Top-down target for reconciliation</t>
  </si>
  <si>
    <t xml:space="preserve">Scenario levers (multipliers on base inputs)</t>
  </si>
  <si>
    <t xml:space="preserve">Door roll-out pace</t>
  </si>
  <si>
    <t xml:space="preserve">Sales per door / foodservice volume</t>
  </si>
  <si>
    <t xml:space="preserve">Online new-customer volume</t>
  </si>
  <si>
    <t xml:space="preserve">CAC</t>
  </si>
  <si>
    <t xml:space="preserve">COGS (FX, duty, freight)</t>
  </si>
  <si>
    <t xml:space="preserve">Trade and brand spend</t>
  </si>
  <si>
    <t xml:space="preserve">Fixed cost (team, G&amp;A)</t>
  </si>
  <si>
    <t xml:space="preserve">Year-1 revenue factor (halal / listing delay)</t>
  </si>
  <si>
    <t xml:space="preserve">Saffron Route - Malaysia entry: five-year model (Bear scenario, MYR m)</t>
  </si>
  <si>
    <t xml:space="preserve">Scenario</t>
  </si>
  <si>
    <t xml:space="preserve">Scenario index (1 Bear, 2 Base, 3 Bull)</t>
  </si>
  <si>
    <t xml:space="preserve">MYR m unless stated</t>
  </si>
  <si>
    <t xml:space="preserve">Year index</t>
  </si>
  <si>
    <t xml:space="preserve">Launch-year revenue factor</t>
  </si>
  <si>
    <t xml:space="preserve">Revenue build</t>
  </si>
  <si>
    <t xml:space="preserve">Doors at year-end</t>
  </si>
  <si>
    <t xml:space="preserve">Average doors in year</t>
  </si>
  <si>
    <t xml:space="preserve">Monthly net sales per door (MYR)</t>
  </si>
  <si>
    <t xml:space="preserve">Retail revenue (via distributor)</t>
  </si>
  <si>
    <t xml:space="preserve">New online customers</t>
  </si>
  <si>
    <t xml:space="preserve">Active online customers</t>
  </si>
  <si>
    <t xml:space="preserve">Online orders</t>
  </si>
  <si>
    <t xml:space="preserve">Online revenue (marketplaces + D2C)</t>
  </si>
  <si>
    <t xml:space="preserve">Foodservice / B2B revenue</t>
  </si>
  <si>
    <t xml:space="preserve">Total net revenue</t>
  </si>
  <si>
    <t xml:space="preserve">Growth %</t>
  </si>
  <si>
    <t xml:space="preserve">Implied share of SAM</t>
  </si>
  <si>
    <t xml:space="preserve">COGS - retail</t>
  </si>
  <si>
    <t xml:space="preserve">COGS - online</t>
  </si>
  <si>
    <t xml:space="preserve">COGS - foodservice</t>
  </si>
  <si>
    <t xml:space="preserve">Gross margin %</t>
  </si>
  <si>
    <t xml:space="preserve">Operating expenses</t>
  </si>
  <si>
    <t xml:space="preserve">Distribution and logistics</t>
  </si>
  <si>
    <t xml:space="preserve">Marketplace commission + fulfilment</t>
  </si>
  <si>
    <t xml:space="preserve">Customer acquisition spend (new customers x CAC)</t>
  </si>
  <si>
    <t xml:space="preserve">Local team</t>
  </si>
  <si>
    <t xml:space="preserve">G&amp;A and compliance</t>
  </si>
  <si>
    <t xml:space="preserve">Pre-launch set-up (one-off)</t>
  </si>
  <si>
    <t xml:space="preserve">Total operating expenses</t>
  </si>
  <si>
    <t xml:space="preserve">EBITDA margin %</t>
  </si>
  <si>
    <t xml:space="preserve">Capex</t>
  </si>
  <si>
    <t xml:space="preserve">Depreciation</t>
  </si>
  <si>
    <t xml:space="preserve">EBIT margin %</t>
  </si>
  <si>
    <t xml:space="preserve">Tax (losses carried forward)</t>
  </si>
  <si>
    <t xml:space="preserve">Tax losses - opening</t>
  </si>
  <si>
    <t xml:space="preserve">Losses added</t>
  </si>
  <si>
    <t xml:space="preserve">Losses used</t>
  </si>
  <si>
    <t xml:space="preserve">Tax losses - closing</t>
  </si>
  <si>
    <t xml:space="preserve">Cash tax</t>
  </si>
  <si>
    <t xml:space="preserve">Cash flow and valuation</t>
  </si>
  <si>
    <t xml:space="preserve">Net working capital</t>
  </si>
  <si>
    <t xml:space="preserve">Change in NWC</t>
  </si>
  <si>
    <t xml:space="preserve">Cumulative free cash flow</t>
  </si>
  <si>
    <t xml:space="preserve">Discount factor</t>
  </si>
  <si>
    <t xml:space="preserve">PV of free cash flow</t>
  </si>
  <si>
    <t xml:space="preserve">Terminal value (Gordon growth, floored at 0 = exit)</t>
  </si>
  <si>
    <t xml:space="preserve">Free cash flow incl. terminal value</t>
  </si>
  <si>
    <t xml:space="preserve">Exit-multiple value (EV/EBITDA x Y5 EBITDA, floored at 0)</t>
  </si>
  <si>
    <t xml:space="preserve">Free cash flow incl. exit-multiple value</t>
  </si>
  <si>
    <t xml:space="preserve">Payback flag</t>
  </si>
  <si>
    <t xml:space="preserve">Operating break-even flag (EBIT turns positive)</t>
  </si>
  <si>
    <t xml:space="preserve">Break-even analysis</t>
  </si>
  <si>
    <t xml:space="preserve">Contribution margin (GP less variable opex)</t>
  </si>
  <si>
    <t xml:space="preserve">Contribution margin %</t>
  </si>
  <si>
    <t xml:space="preserve">Fixed cash costs (team + G&amp;A)</t>
  </si>
  <si>
    <t xml:space="preserve">Break-even revenue (fixed / CM%)</t>
  </si>
  <si>
    <t xml:space="preserve">Margin of safety (1 - BE / revenue)</t>
  </si>
  <si>
    <t xml:space="preserve">Contribution per order (MYR)</t>
  </si>
  <si>
    <t xml:space="preserve">Customer lifetime value (MYR)</t>
  </si>
  <si>
    <t xml:space="preserve">CAC (MYR)</t>
  </si>
  <si>
    <t xml:space="preserve">LTV / CAC</t>
  </si>
  <si>
    <t xml:space="preserve">Headline metrics</t>
  </si>
  <si>
    <t xml:space="preserve">NPV - explicit 5 years only (MYR m)</t>
  </si>
  <si>
    <t xml:space="preserve">PV of terminal value (MYR m)</t>
  </si>
  <si>
    <t xml:space="preserve">NPV incl. terminal value (MYR m)</t>
  </si>
  <si>
    <t xml:space="preserve">IRR - explicit 5 years only</t>
  </si>
  <si>
    <t xml:space="preserve">Peak cumulative funding need (MYR m)</t>
  </si>
  <si>
    <t xml:space="preserve">Cash payback year (within 5 years)</t>
  </si>
  <si>
    <t xml:space="preserve">Operating break-even year (EBIT &gt; 0)</t>
  </si>
  <si>
    <t xml:space="preserve">Year-5 revenue (MYR m)</t>
  </si>
  <si>
    <t xml:space="preserve">Terminal value as % of NPV incl. TV</t>
  </si>
  <si>
    <t xml:space="preserve">NPV with exit-multiple value (cross-check, MYR m)</t>
  </si>
  <si>
    <t xml:space="preserve">IRR with exit-multiple value (cross-check)</t>
  </si>
  <si>
    <t xml:space="preserve">Saffron Route - Malaysia entry: five-year model (Base scenario, MYR m)</t>
  </si>
  <si>
    <t xml:space="preserve">Saffron Route - Malaysia entry: five-year model (Bull scenario, MYR m)</t>
  </si>
  <si>
    <t xml:space="preserve">Entry-mode comparison: simplified five-year economics on a common SOM path (MYR m)</t>
  </si>
  <si>
    <t xml:space="preserve">Simplification: cash tax = tax rate x positive EBITDA (no loss carry-forward or depreciation shield); NWC and WACC as in Assumptions. Mode parameters are JUDGEMENT - flex the blue cells. The recommended hybrid is valued in the full Model_Base; the four modes use this simplified basis, so read the ranking as directional.</t>
  </si>
  <si>
    <t xml:space="preserve">Realisation of SOM path</t>
  </si>
  <si>
    <t xml:space="preserve">Gross margin % (B)</t>
  </si>
  <si>
    <t xml:space="preserve">Variable cost % revenue (B)</t>
  </si>
  <si>
    <t xml:space="preserve">Fixed opex</t>
  </si>
  <si>
    <t xml:space="preserve">Set-up cost</t>
  </si>
  <si>
    <t xml:space="preserve">Free cash flow (100%)</t>
  </si>
  <si>
    <t xml:space="preserve">Saffron ownership share (B)</t>
  </si>
  <si>
    <t xml:space="preserve">Saffron free cash flow</t>
  </si>
  <si>
    <t xml:space="preserve">PV</t>
  </si>
  <si>
    <t xml:space="preserve">Terminal value</t>
  </si>
  <si>
    <t xml:space="preserve">NPV incl. terminal value (floored at 0)</t>
  </si>
  <si>
    <t xml:space="preserve">NPV explicit 5 years only</t>
  </si>
  <si>
    <t xml:space="preserve">Cumulative Saffron FCF</t>
  </si>
  <si>
    <t xml:space="preserve">Year-5 EBITDA margin</t>
  </si>
  <si>
    <t xml:space="preserve">Entry-strategy scorecard (weights and 1-5 scores are judgements; financial score is computed from NPV)</t>
  </si>
  <si>
    <t xml:space="preserve">Criterion</t>
  </si>
  <si>
    <t xml:space="preserve">Weight</t>
  </si>
  <si>
    <t xml:space="preserve">Recommended: partner-led hybrid + digital layer</t>
  </si>
  <si>
    <t xml:space="preserve">Financial return (NPV, computed)</t>
  </si>
  <si>
    <t xml:space="preserve">Speed to market</t>
  </si>
  <si>
    <t xml:space="preserve">Capital at risk (5 = low)</t>
  </si>
  <si>
    <t xml:space="preserve">Control and brand building</t>
  </si>
  <si>
    <t xml:space="preserve">Halal, regulatory and local know-how</t>
  </si>
  <si>
    <t xml:space="preserve">Scalability and optionality</t>
  </si>
  <si>
    <t xml:space="preserve">Weighted score (max 5.0)</t>
  </si>
  <si>
    <t xml:space="preserve">Rank</t>
  </si>
  <si>
    <t xml:space="preserve">Sensitivity of Base-case NPV incl. terminal value (MYR m)</t>
  </si>
  <si>
    <t xml:space="preserve">Values are pasted from re-running this workbook with one input flexed at a time (a data-table equivalent). They do not recalculate; re-run if inputs change.</t>
  </si>
  <si>
    <t xml:space="preserve">Base NPV (MYR m)</t>
  </si>
  <si>
    <t xml:space="preserve">Driver flexed</t>
  </si>
  <si>
    <t xml:space="preserve">Low case</t>
  </si>
  <si>
    <t xml:space="preserve">High case</t>
  </si>
  <si>
    <t xml:space="preserve">NPV at low</t>
  </si>
  <si>
    <t xml:space="preserve">NPV at high</t>
  </si>
  <si>
    <t xml:space="preserve">Delta low</t>
  </si>
  <si>
    <t xml:space="preserve">Delta high</t>
  </si>
  <si>
    <t xml:space="preserve">Swing</t>
  </si>
  <si>
    <t xml:space="preserve">Discount rate (WACC)</t>
  </si>
  <si>
    <t xml:space="preserve">14%</t>
  </si>
  <si>
    <t xml:space="preserve">10%</t>
  </si>
  <si>
    <t xml:space="preserve">-20%</t>
  </si>
  <si>
    <t xml:space="preserve">+20%</t>
  </si>
  <si>
    <t xml:space="preserve">+5%</t>
  </si>
  <si>
    <t xml:space="preserve">-5%</t>
  </si>
  <si>
    <t xml:space="preserve">Fixed costs (team, G&amp;A)</t>
  </si>
  <si>
    <t xml:space="preserve">2%</t>
  </si>
  <si>
    <t xml:space="preserve">4%</t>
  </si>
  <si>
    <t xml:space="preserve">18%</t>
  </si>
  <si>
    <t xml:space="preserve">12%</t>
  </si>
  <si>
    <t xml:space="preserve">-30%</t>
  </si>
  <si>
    <t xml:space="preserve">+30%</t>
  </si>
  <si>
    <t xml:space="preserve">Customer acquisition cost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</si>
</sst>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;\(#,##0.00\);\-"/>
    <numFmt numFmtId="166" formatCode="0.0%;\(0.0%\);\-"/>
    <numFmt numFmtId="167" formatCode="0"/>
    <numFmt numFmtId="168" formatCode="0.00\x"/>
    <numFmt numFmtId="169" formatCode="#,##0.0;\(#,##0.0\);\-"/>
    <numFmt numFmtId="170" formatCode="0.0"/>
    <numFmt numFmtId="171" formatCode="0.0\x"/>
    <numFmt numFmtId="172" formatCode="#,##0;\(#,##0\);\-"/>
    <numFmt numFmtId="173" formatCode="0.00"/>
    <numFmt numFmtId="174" formatCode="0.000"/>
    <numFmt numFmtId="175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A2C0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A3E00"/>
        <bgColor rgb="FF4A2C0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8B855"/>
      <rgbColor rgb="FFFFCC00"/>
      <rgbColor rgb="FFFF9900"/>
      <rgbColor rgb="FFFF6600"/>
      <rgbColor rgb="FF666666"/>
      <rgbColor rgb="FF969696"/>
      <rgbColor rgb="FF003366"/>
      <rgbColor rgb="FF4F81BD"/>
      <rgbColor rgb="FF003300"/>
      <rgbColor rgb="FF4A2C0A"/>
      <rgbColor rgb="FF7A3E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NPV incl. terminal value by entry mode (MYR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Summary!$A$31:$A$35</c:f>
              <c:strCache>
                <c:ptCount val="5"/>
                <c:pt idx="0">
                  <c:v>Direct entry (own subsidiary)</c:v>
                </c:pt>
                <c:pt idx="1">
                  <c:v>Local distribution partnership</c:v>
                </c:pt>
                <c:pt idx="2">
                  <c:v>Joint venture (51:49)</c:v>
                </c:pt>
                <c:pt idx="3">
                  <c:v>Digital-first (marketplace + D2C)</c:v>
                </c:pt>
                <c:pt idx="4">
                  <c:v>Recommended hybrid</c:v>
                </c:pt>
              </c:strCache>
            </c:strRef>
          </c:cat>
          <c:val>
            <c:numRef>
              <c:f>Summary!$B$31:$B$35</c:f>
              <c:numCache>
                <c:formatCode>#,##0.00;\(#,##0.00\);\-</c:formatCode>
                <c:ptCount val="5"/>
                <c:pt idx="0">
                  <c:v>-20.0398393939814</c:v>
                </c:pt>
                <c:pt idx="1">
                  <c:v>0.856193894471032</c:v>
                </c:pt>
                <c:pt idx="2">
                  <c:v>-9.32532211437949</c:v>
                </c:pt>
                <c:pt idx="3">
                  <c:v>-6.26111301589918</c:v>
                </c:pt>
                <c:pt idx="4">
                  <c:v>11.7836029999346</c:v>
                </c:pt>
              </c:numCache>
            </c:numRef>
          </c:val>
        </c:ser>
        <c:gapWidth val="150"/>
        <c:overlap val="0"/>
        <c:axId val="67392063"/>
        <c:axId val="8422227"/>
      </c:barChart>
      <c:catAx>
        <c:axId val="6739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22227"/>
        <c:crosses val="autoZero"/>
        <c:auto val="1"/>
        <c:lblAlgn val="ctr"/>
        <c:lblOffset val="100"/>
        <c:noMultiLvlLbl val="0"/>
      </c:catAx>
      <c:valAx>
        <c:axId val="84222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39206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scenario (MYR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Summary!A56</c:f>
              <c:strCache>
                <c:ptCount val="1"/>
                <c:pt idx="0">
                  <c:v>Bear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Summary!$B$55:$G$55</c:f>
              <c:strCache>
                <c:ptCount val="6"/>
                <c:pt idx="0">
                  <c:v>Y0 2027</c:v>
                </c:pt>
                <c:pt idx="1">
                  <c:v>Y1 2028</c:v>
                </c:pt>
                <c:pt idx="2">
                  <c:v>Y2 2029</c:v>
                </c:pt>
                <c:pt idx="3">
                  <c:v>Y3 2030</c:v>
                </c:pt>
                <c:pt idx="4">
                  <c:v>Y4 2031</c:v>
                </c:pt>
                <c:pt idx="5">
                  <c:v>Y5 2032</c:v>
                </c:pt>
              </c:strCache>
            </c:strRef>
          </c:cat>
          <c:val>
            <c:numRef>
              <c:f>Summary!$B$56:$G$56</c:f>
              <c:numCache>
                <c:formatCode>#,##0.00;\(#,##0.00\);\-</c:formatCode>
                <c:ptCount val="6"/>
                <c:pt idx="0">
                  <c:v>0</c:v>
                </c:pt>
                <c:pt idx="1">
                  <c:v>0.69484</c:v>
                </c:pt>
                <c:pt idx="2">
                  <c:v>4.5206</c:v>
                </c:pt>
                <c:pt idx="3">
                  <c:v>8.87388</c:v>
                </c:pt>
                <c:pt idx="4">
                  <c:v>13.53331</c:v>
                </c:pt>
                <c:pt idx="5">
                  <c:v>17.7593495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Summary!A57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Summary!$B$55:$G$55</c:f>
              <c:strCache>
                <c:ptCount val="6"/>
                <c:pt idx="0">
                  <c:v>Y0 2027</c:v>
                </c:pt>
                <c:pt idx="1">
                  <c:v>Y1 2028</c:v>
                </c:pt>
                <c:pt idx="2">
                  <c:v>Y2 2029</c:v>
                </c:pt>
                <c:pt idx="3">
                  <c:v>Y3 2030</c:v>
                </c:pt>
                <c:pt idx="4">
                  <c:v>Y4 2031</c:v>
                </c:pt>
                <c:pt idx="5">
                  <c:v>Y5 2032</c:v>
                </c:pt>
              </c:strCache>
            </c:strRef>
          </c:cat>
          <c:val>
            <c:numRef>
              <c:f>Summary!$B$57:$G$57</c:f>
              <c:numCache>
                <c:formatCode>#,##0.00;\(#,##0.00\);\-</c:formatCode>
                <c:ptCount val="6"/>
                <c:pt idx="0">
                  <c:v>0</c:v>
                </c:pt>
                <c:pt idx="1">
                  <c:v>2.234</c:v>
                </c:pt>
                <c:pt idx="2">
                  <c:v>7.475</c:v>
                </c:pt>
                <c:pt idx="3">
                  <c:v>14.878</c:v>
                </c:pt>
                <c:pt idx="4">
                  <c:v>22.8333</c:v>
                </c:pt>
                <c:pt idx="5">
                  <c:v>30.047985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Summary!A58</c:f>
              <c:strCache>
                <c:ptCount val="1"/>
                <c:pt idx="0">
                  <c:v>Bull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Summary!$B$55:$G$55</c:f>
              <c:strCache>
                <c:ptCount val="6"/>
                <c:pt idx="0">
                  <c:v>Y0 2027</c:v>
                </c:pt>
                <c:pt idx="1">
                  <c:v>Y1 2028</c:v>
                </c:pt>
                <c:pt idx="2">
                  <c:v>Y2 2029</c:v>
                </c:pt>
                <c:pt idx="3">
                  <c:v>Y3 2030</c:v>
                </c:pt>
                <c:pt idx="4">
                  <c:v>Y4 2031</c:v>
                </c:pt>
                <c:pt idx="5">
                  <c:v>Y5 2032</c:v>
                </c:pt>
              </c:strCache>
            </c:strRef>
          </c:cat>
          <c:val>
            <c:numRef>
              <c:f>Summary!$B$58:$G$58</c:f>
              <c:numCache>
                <c:formatCode>#,##0.00;\(#,##0.00\);\-</c:formatCode>
                <c:ptCount val="6"/>
                <c:pt idx="0">
                  <c:v>0</c:v>
                </c:pt>
                <c:pt idx="1">
                  <c:v>2.82688</c:v>
                </c:pt>
                <c:pt idx="2">
                  <c:v>9.5206</c:v>
                </c:pt>
                <c:pt idx="3">
                  <c:v>19.00778</c:v>
                </c:pt>
                <c:pt idx="4">
                  <c:v>29.216625</c:v>
                </c:pt>
                <c:pt idx="5">
                  <c:v>38.47774125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5500116"/>
        <c:axId val="1182313"/>
      </c:lineChart>
      <c:catAx>
        <c:axId val="455001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82313"/>
        <c:crosses val="autoZero"/>
        <c:auto val="1"/>
        <c:lblAlgn val="ctr"/>
        <c:lblOffset val="100"/>
        <c:noMultiLvlLbl val="0"/>
      </c:catAx>
      <c:valAx>
        <c:axId val="11823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50011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NPV change vs base (MYR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Sensitivity!F4</c:f>
              <c:strCache>
                <c:ptCount val="1"/>
                <c:pt idx="0">
                  <c:v>Delta low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Sensitivity!$A$5:$A$14</c:f>
              <c:strCache>
                <c:ptCount val="10"/>
                <c:pt idx="0">
                  <c:v>Discount rate (WACC)</c:v>
                </c:pt>
                <c:pt idx="1">
                  <c:v>Sales per door / foodservice volume</c:v>
                </c:pt>
                <c:pt idx="2">
                  <c:v>Door roll-out pace</c:v>
                </c:pt>
                <c:pt idx="3">
                  <c:v>COGS (FX, duty, freight)</c:v>
                </c:pt>
                <c:pt idx="4">
                  <c:v>Fixed costs (team, G&amp;A)</c:v>
                </c:pt>
                <c:pt idx="5">
                  <c:v>Terminal growth</c:v>
                </c:pt>
                <c:pt idx="6">
                  <c:v>Net working capital % revenue</c:v>
                </c:pt>
                <c:pt idx="7">
                  <c:v>Online new-customer volume</c:v>
                </c:pt>
                <c:pt idx="8">
                  <c:v>Trade and brand spend</c:v>
                </c:pt>
                <c:pt idx="9">
                  <c:v>Customer acquisition cost</c:v>
                </c:pt>
              </c:strCache>
            </c:strRef>
          </c:cat>
          <c:val>
            <c:numRef>
              <c:f>Sensitivity!$F$5:$F$14</c:f>
              <c:numCache>
                <c:formatCode>#,##0.00;\(#,##0.00\);\-</c:formatCode>
                <c:ptCount val="10"/>
                <c:pt idx="0">
                  <c:v>-4.27532445138457</c:v>
                </c:pt>
                <c:pt idx="1">
                  <c:v>-6.18262422150676</c:v>
                </c:pt>
                <c:pt idx="2">
                  <c:v>-5.33069687334601</c:v>
                </c:pt>
                <c:pt idx="3">
                  <c:v>-4.8389916876247</c:v>
                </c:pt>
                <c:pt idx="4">
                  <c:v>-4.57662793972026</c:v>
                </c:pt>
                <c:pt idx="5">
                  <c:v>-1.85190780945407</c:v>
                </c:pt>
                <c:pt idx="6">
                  <c:v>-2.02328771255796</c:v>
                </c:pt>
                <c:pt idx="7">
                  <c:v>-1.4531204215583</c:v>
                </c:pt>
                <c:pt idx="8">
                  <c:v>-0.868184719203399</c:v>
                </c:pt>
                <c:pt idx="9">
                  <c:v>-0.669258672059399</c:v>
                </c:pt>
              </c:numCache>
            </c:numRef>
          </c:val>
        </c:ser>
        <c:ser>
          <c:idx val="1"/>
          <c:order val="1"/>
          <c:tx>
            <c:strRef>
              <c:f>Sensitivity!G4</c:f>
              <c:strCache>
                <c:ptCount val="1"/>
                <c:pt idx="0">
                  <c:v>Delta high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Sensitivity!$A$5:$A$14</c:f>
              <c:strCache>
                <c:ptCount val="10"/>
                <c:pt idx="0">
                  <c:v>Discount rate (WACC)</c:v>
                </c:pt>
                <c:pt idx="1">
                  <c:v>Sales per door / foodservice volume</c:v>
                </c:pt>
                <c:pt idx="2">
                  <c:v>Door roll-out pace</c:v>
                </c:pt>
                <c:pt idx="3">
                  <c:v>COGS (FX, duty, freight)</c:v>
                </c:pt>
                <c:pt idx="4">
                  <c:v>Fixed costs (team, G&amp;A)</c:v>
                </c:pt>
                <c:pt idx="5">
                  <c:v>Terminal growth</c:v>
                </c:pt>
                <c:pt idx="6">
                  <c:v>Net working capital % revenue</c:v>
                </c:pt>
                <c:pt idx="7">
                  <c:v>Online new-customer volume</c:v>
                </c:pt>
                <c:pt idx="8">
                  <c:v>Trade and brand spend</c:v>
                </c:pt>
                <c:pt idx="9">
                  <c:v>Customer acquisition cost</c:v>
                </c:pt>
              </c:strCache>
            </c:strRef>
          </c:cat>
          <c:val>
            <c:numRef>
              <c:f>Sensitivity!$G$5:$G$14</c:f>
              <c:numCache>
                <c:formatCode>#,##0.00;\(#,##0.00\);\-</c:formatCode>
                <c:ptCount val="10"/>
                <c:pt idx="0">
                  <c:v>6.9371851107526</c:v>
                </c:pt>
                <c:pt idx="1">
                  <c:v>3.5057764026996</c:v>
                </c:pt>
                <c:pt idx="2">
                  <c:v>3.1912770359355</c:v>
                </c:pt>
                <c:pt idx="3">
                  <c:v>3.3660515008575</c:v>
                </c:pt>
                <c:pt idx="4">
                  <c:v>1.8768072439434</c:v>
                </c:pt>
                <c:pt idx="5">
                  <c:v>2.3148847618175</c:v>
                </c:pt>
                <c:pt idx="6">
                  <c:v>2.0232877125579</c:v>
                </c:pt>
                <c:pt idx="7">
                  <c:v>1.4505932881563</c:v>
                </c:pt>
                <c:pt idx="8">
                  <c:v>0.868184719203301</c:v>
                </c:pt>
                <c:pt idx="9">
                  <c:v>0.6692586720593</c:v>
                </c:pt>
              </c:numCache>
            </c:numRef>
          </c:val>
        </c:ser>
        <c:gapWidth val="150"/>
        <c:overlap val="100"/>
        <c:axId val="97658771"/>
        <c:axId val="1797072"/>
      </c:barChart>
      <c:catAx>
        <c:axId val="976587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97072"/>
        <c:crosses val="autoZero"/>
        <c:auto val="1"/>
        <c:lblAlgn val="ctr"/>
        <c:lblOffset val="100"/>
        <c:noMultiLvlLbl val="0"/>
      </c:catAx>
      <c:valAx>
        <c:axId val="17970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6587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36</xdr:row>
      <xdr:rowOff>160560</xdr:rowOff>
    </xdr:from>
    <xdr:to>
      <xdr:col>3</xdr:col>
      <xdr:colOff>825840</xdr:colOff>
      <xdr:row>50</xdr:row>
      <xdr:rowOff>13320</xdr:rowOff>
    </xdr:to>
    <xdr:graphicFrame>
      <xdr:nvGraphicFramePr>
        <xdr:cNvPr id="0" name="Chart 1"/>
        <xdr:cNvGraphicFramePr/>
      </xdr:nvGraphicFramePr>
      <xdr:xfrm>
        <a:off x="0" y="704844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58</xdr:row>
      <xdr:rowOff>160560</xdr:rowOff>
    </xdr:from>
    <xdr:to>
      <xdr:col>3</xdr:col>
      <xdr:colOff>105840</xdr:colOff>
      <xdr:row>72</xdr:row>
      <xdr:rowOff>13320</xdr:rowOff>
    </xdr:to>
    <xdr:graphicFrame>
      <xdr:nvGraphicFramePr>
        <xdr:cNvPr id="1" name="Chart 2"/>
        <xdr:cNvGraphicFramePr/>
      </xdr:nvGraphicFramePr>
      <xdr:xfrm>
        <a:off x="0" y="1123956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160920</xdr:rowOff>
    </xdr:from>
    <xdr:to>
      <xdr:col>4</xdr:col>
      <xdr:colOff>488520</xdr:colOff>
      <xdr:row>34</xdr:row>
      <xdr:rowOff>140760</xdr:rowOff>
    </xdr:to>
    <xdr:graphicFrame>
      <xdr:nvGraphicFramePr>
        <xdr:cNvPr id="2" name="Chart 1"/>
        <xdr:cNvGraphicFramePr/>
      </xdr:nvGraphicFramePr>
      <xdr:xfrm>
        <a:off x="0" y="304812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f aca="false">Model_Bear!$B$85</f>
        <v>-12.1379425423229</v>
      </c>
      <c r="C5" s="5" t="n">
        <f aca="false">Model_Base!$B$85</f>
        <v>11.7836029999346</v>
      </c>
      <c r="D5" s="5" t="n">
        <f aca="false">Model_Bull!$B$85</f>
        <v>26.3223363870395</v>
      </c>
      <c r="E5" s="5" t="n">
        <f aca="false">B5*Assumptions!$B$27+C5*Assumptions!$B$28+D5*Assumptions!$B$29</f>
        <v>9.43789996114644</v>
      </c>
    </row>
    <row r="6" customFormat="false" ht="15" hidden="false" customHeight="false" outlineLevel="0" collapsed="false">
      <c r="A6" s="4" t="s">
        <v>8</v>
      </c>
      <c r="B6" s="5" t="n">
        <f aca="false">Model_Bear!$B$94</f>
        <v>-12.1379425423229</v>
      </c>
      <c r="C6" s="5" t="n">
        <f aca="false">Model_Base!$B$94</f>
        <v>7.35656165328836</v>
      </c>
      <c r="D6" s="5" t="n">
        <f aca="false">Model_Bull!$B$94</f>
        <v>20.503012710929</v>
      </c>
      <c r="E6" s="5" t="n">
        <f aca="false">B6*Assumptions!$B$27+C6*Assumptions!$B$28+D6*Assumptions!$B$29</f>
        <v>5.76954836879571</v>
      </c>
    </row>
    <row r="7" customFormat="false" ht="15" hidden="false" customHeight="false" outlineLevel="0" collapsed="false">
      <c r="A7" s="4" t="s">
        <v>9</v>
      </c>
      <c r="B7" s="5" t="n">
        <f aca="false">Model_Bear!$B$83</f>
        <v>-12.1379425423229</v>
      </c>
      <c r="C7" s="5" t="n">
        <f aca="false">Model_Base!$B$83</f>
        <v>-5.2473348905802</v>
      </c>
      <c r="D7" s="5" t="n">
        <f aca="false">Model_Bull!$B$83</f>
        <v>-1.72724518987612</v>
      </c>
      <c r="E7" s="5" t="n">
        <f aca="false">B7*Assumptions!$B$27+C7*Assumptions!$B$28+D7*Assumptions!$B$29</f>
        <v>-6.08996437833986</v>
      </c>
    </row>
    <row r="8" customFormat="false" ht="15" hidden="false" customHeight="false" outlineLevel="0" collapsed="false">
      <c r="A8" s="4" t="s">
        <v>10</v>
      </c>
      <c r="B8" s="6" t="str">
        <f aca="false">Model_Bear!$B$86</f>
        <v>n/m</v>
      </c>
      <c r="C8" s="6" t="n">
        <f aca="false">Model_Base!$B$86</f>
        <v>0.442984304010702</v>
      </c>
      <c r="D8" s="6" t="n">
        <f aca="false">Model_Bull!$B$86</f>
        <v>0.703935399290663</v>
      </c>
    </row>
    <row r="9" customFormat="false" ht="15" hidden="false" customHeight="false" outlineLevel="0" collapsed="false">
      <c r="A9" s="4" t="s">
        <v>11</v>
      </c>
      <c r="B9" s="6" t="str">
        <f aca="false">Model_Bear!$B$95</f>
        <v>n/m</v>
      </c>
      <c r="C9" s="6" t="n">
        <f aca="false">Model_Base!$B$95</f>
        <v>0.348859832208363</v>
      </c>
      <c r="D9" s="6" t="n">
        <f aca="false">Model_Bull!$B$95</f>
        <v>0.626800687368996</v>
      </c>
    </row>
    <row r="10" customFormat="false" ht="15" hidden="false" customHeight="false" outlineLevel="0" collapsed="false">
      <c r="A10" s="4" t="s">
        <v>12</v>
      </c>
      <c r="B10" s="5" t="n">
        <f aca="false">Model_Bear!$B$91</f>
        <v>17.7593495</v>
      </c>
      <c r="C10" s="5" t="n">
        <f aca="false">Model_Base!$B$91</f>
        <v>30.047985</v>
      </c>
      <c r="D10" s="5" t="n">
        <f aca="false">Model_Bull!$B$91</f>
        <v>38.47774125</v>
      </c>
      <c r="E10" s="5" t="n">
        <f aca="false">B10*Assumptions!$B$27+C10*Assumptions!$B$28+D10*Assumptions!$B$29</f>
        <v>29.0832651875</v>
      </c>
    </row>
    <row r="11" customFormat="false" ht="15" hidden="false" customHeight="false" outlineLevel="0" collapsed="false">
      <c r="A11" s="4" t="s">
        <v>13</v>
      </c>
      <c r="B11" s="6" t="n">
        <f aca="false">Model_Bear!$B$92</f>
        <v>-0.0618601983704415</v>
      </c>
      <c r="C11" s="6" t="n">
        <f aca="false">Model_Base!$B$92</f>
        <v>0.126546736827777</v>
      </c>
      <c r="D11" s="6" t="n">
        <f aca="false">Model_Bull!$B$92</f>
        <v>0.187003233340133</v>
      </c>
    </row>
    <row r="12" customFormat="false" ht="15" hidden="false" customHeight="false" outlineLevel="0" collapsed="false">
      <c r="A12" s="4" t="s">
        <v>14</v>
      </c>
      <c r="B12" s="5" t="n">
        <f aca="false">Model_Bear!$B$88</f>
        <v>15.65921048</v>
      </c>
      <c r="C12" s="5" t="n">
        <f aca="false">Model_Base!$B$88</f>
        <v>8.347578</v>
      </c>
      <c r="D12" s="5" t="n">
        <f aca="false">Model_Bull!$B$88</f>
        <v>6.268438512</v>
      </c>
      <c r="E12" s="5" t="n">
        <f aca="false">B12*Assumptions!$B$27+C12*Assumptions!$B$28+D12*Assumptions!$B$29</f>
        <v>9.655701248</v>
      </c>
    </row>
    <row r="13" customFormat="false" ht="15" hidden="false" customHeight="false" outlineLevel="0" collapsed="false">
      <c r="A13" s="4" t="s">
        <v>15</v>
      </c>
      <c r="B13" s="7" t="str">
        <f aca="false">Model_Bear!$B$90</f>
        <v>&gt;Y5</v>
      </c>
      <c r="C13" s="7" t="n">
        <f aca="false">Model_Base!$B$90</f>
        <v>3</v>
      </c>
      <c r="D13" s="7" t="n">
        <f aca="false">Model_Bull!$B$90</f>
        <v>3</v>
      </c>
    </row>
    <row r="14" customFormat="false" ht="15" hidden="false" customHeight="false" outlineLevel="0" collapsed="false">
      <c r="A14" s="4" t="s">
        <v>16</v>
      </c>
      <c r="B14" s="7" t="str">
        <f aca="false">Model_Bear!$B$89</f>
        <v>&gt;Y5</v>
      </c>
      <c r="C14" s="7" t="str">
        <f aca="false">Model_Base!$B$89</f>
        <v>&gt;Y5</v>
      </c>
      <c r="D14" s="7" t="n">
        <f aca="false">Model_Bull!$B$89</f>
        <v>5</v>
      </c>
    </row>
    <row r="15" customFormat="false" ht="15" hidden="false" customHeight="false" outlineLevel="0" collapsed="false">
      <c r="A15" s="4" t="s">
        <v>17</v>
      </c>
      <c r="B15" s="6" t="n">
        <f aca="false">Model_Bear!$B$93</f>
        <v>-0</v>
      </c>
      <c r="C15" s="6" t="n">
        <f aca="false">Model_Base!$B$93</f>
        <v>1.44530818719956</v>
      </c>
      <c r="D15" s="6" t="n">
        <f aca="false">Model_Bull!$B$93</f>
        <v>1.06561899234471</v>
      </c>
    </row>
    <row r="17" customFormat="false" ht="15" hidden="false" customHeight="false" outlineLevel="0" collapsed="false">
      <c r="A17" s="4" t="s">
        <v>18</v>
      </c>
      <c r="C17" s="6" t="n">
        <f aca="false">Model_Base!H29</f>
        <v>0.047969848111276</v>
      </c>
    </row>
    <row r="18" customFormat="false" ht="15" hidden="false" customHeight="false" outlineLevel="0" collapsed="false">
      <c r="A18" s="4" t="s">
        <v>19</v>
      </c>
      <c r="C18" s="8" t="n">
        <f aca="false">Model_Base!H27/Assumptions!H44</f>
        <v>0.999371835651585</v>
      </c>
    </row>
    <row r="19" customFormat="false" ht="15" hidden="false" customHeight="false" outlineLevel="0" collapsed="false">
      <c r="A19" s="4" t="s">
        <v>20</v>
      </c>
      <c r="C19" s="9" t="n">
        <f aca="false">Model_Base!H27*Assumptions!$B$6/10</f>
        <v>61.59836925</v>
      </c>
    </row>
    <row r="21" customFormat="false" ht="15" hidden="false" customHeight="false" outlineLevel="0" collapsed="false">
      <c r="A21" s="3" t="s">
        <v>21</v>
      </c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B22" s="11" t="s">
        <v>22</v>
      </c>
      <c r="C22" s="11" t="s">
        <v>23</v>
      </c>
      <c r="D22" s="11" t="s">
        <v>24</v>
      </c>
      <c r="E22" s="11" t="s">
        <v>25</v>
      </c>
      <c r="F22" s="11" t="s">
        <v>26</v>
      </c>
      <c r="G22" s="11" t="s">
        <v>27</v>
      </c>
    </row>
    <row r="23" customFormat="false" ht="15" hidden="false" customHeight="false" outlineLevel="0" collapsed="false">
      <c r="A23" s="4" t="s">
        <v>28</v>
      </c>
      <c r="B23" s="5" t="n">
        <f aca="false">Model_Base!C27</f>
        <v>0</v>
      </c>
      <c r="C23" s="5" t="n">
        <f aca="false">Model_Base!D27</f>
        <v>2.234</v>
      </c>
      <c r="D23" s="5" t="n">
        <f aca="false">Model_Base!E27</f>
        <v>7.475</v>
      </c>
      <c r="E23" s="5" t="n">
        <f aca="false">Model_Base!F27</f>
        <v>14.878</v>
      </c>
      <c r="F23" s="5" t="n">
        <f aca="false">Model_Base!G27</f>
        <v>22.8333</v>
      </c>
      <c r="G23" s="5" t="n">
        <f aca="false">Model_Base!H27</f>
        <v>30.047985</v>
      </c>
    </row>
    <row r="24" customFormat="false" ht="15" hidden="false" customHeight="false" outlineLevel="0" collapsed="false">
      <c r="A24" s="4" t="s">
        <v>29</v>
      </c>
      <c r="B24" s="5" t="n">
        <f aca="false">Model_Base!C34</f>
        <v>0</v>
      </c>
      <c r="C24" s="5" t="n">
        <f aca="false">Model_Base!D34</f>
        <v>0.96092</v>
      </c>
      <c r="D24" s="5" t="n">
        <f aca="false">Model_Base!E34</f>
        <v>3.1289</v>
      </c>
      <c r="E24" s="5" t="n">
        <f aca="false">Model_Base!F34</f>
        <v>6.14222</v>
      </c>
      <c r="F24" s="5" t="n">
        <f aca="false">Model_Base!G34</f>
        <v>9.383315</v>
      </c>
      <c r="G24" s="5" t="n">
        <f aca="false">Model_Base!H34</f>
        <v>12.33183175</v>
      </c>
    </row>
    <row r="25" customFormat="false" ht="15" hidden="false" customHeight="false" outlineLevel="0" collapsed="false">
      <c r="A25" s="4" t="s">
        <v>30</v>
      </c>
      <c r="B25" s="5" t="n">
        <f aca="false">Model_Base!C45</f>
        <v>-1.2</v>
      </c>
      <c r="C25" s="5" t="n">
        <f aca="false">Model_Base!D45</f>
        <v>-1.60837</v>
      </c>
      <c r="D25" s="5" t="n">
        <f aca="false">Model_Base!E45</f>
        <v>-1.0395</v>
      </c>
      <c r="E25" s="5" t="n">
        <f aca="false">Model_Base!F45</f>
        <v>0.431991999999998</v>
      </c>
      <c r="F25" s="5" t="n">
        <f aca="false">Model_Base!G45</f>
        <v>2.400321</v>
      </c>
      <c r="G25" s="5" t="n">
        <f aca="false">Model_Base!H45</f>
        <v>4.44247445</v>
      </c>
    </row>
    <row r="26" customFormat="false" ht="15" hidden="false" customHeight="false" outlineLevel="0" collapsed="false">
      <c r="A26" s="4" t="s">
        <v>31</v>
      </c>
      <c r="B26" s="5" t="n">
        <f aca="false">Model_Base!C49</f>
        <v>-1.2</v>
      </c>
      <c r="C26" s="5" t="n">
        <f aca="false">Model_Base!D49</f>
        <v>-1.76837</v>
      </c>
      <c r="D26" s="5" t="n">
        <f aca="false">Model_Base!E49</f>
        <v>-1.2995</v>
      </c>
      <c r="E26" s="5" t="n">
        <f aca="false">Model_Base!F49</f>
        <v>0.0119919999999983</v>
      </c>
      <c r="F26" s="5" t="n">
        <f aca="false">Model_Base!G49</f>
        <v>1.860321</v>
      </c>
      <c r="G26" s="5" t="n">
        <f aca="false">Model_Base!H49</f>
        <v>3.80247445</v>
      </c>
    </row>
    <row r="27" customFormat="false" ht="15" hidden="false" customHeight="false" outlineLevel="0" collapsed="false">
      <c r="A27" s="4" t="s">
        <v>32</v>
      </c>
      <c r="B27" s="5" t="n">
        <f aca="false">Model_Base!C60</f>
        <v>-2</v>
      </c>
      <c r="C27" s="5" t="n">
        <f aca="false">Model_Base!D60</f>
        <v>-2.44347</v>
      </c>
      <c r="D27" s="5" t="n">
        <f aca="false">Model_Base!E60</f>
        <v>-2.62565</v>
      </c>
      <c r="E27" s="5" t="n">
        <f aca="false">Model_Base!F60</f>
        <v>-1.278458</v>
      </c>
      <c r="F27" s="5" t="n">
        <f aca="false">Model_Base!G60</f>
        <v>0.707026</v>
      </c>
      <c r="G27" s="5" t="n">
        <f aca="false">Model_Base!H60</f>
        <v>2.622611512</v>
      </c>
    </row>
    <row r="28" customFormat="false" ht="15" hidden="false" customHeight="false" outlineLevel="0" collapsed="false">
      <c r="A28" s="4" t="s">
        <v>33</v>
      </c>
      <c r="B28" s="5" t="n">
        <f aca="false">Model_Base!C61</f>
        <v>-2</v>
      </c>
      <c r="C28" s="5" t="n">
        <f aca="false">Model_Base!D61</f>
        <v>-4.44347</v>
      </c>
      <c r="D28" s="5" t="n">
        <f aca="false">Model_Base!E61</f>
        <v>-7.06912</v>
      </c>
      <c r="E28" s="5" t="n">
        <f aca="false">Model_Base!F61</f>
        <v>-8.347578</v>
      </c>
      <c r="F28" s="5" t="n">
        <f aca="false">Model_Base!G61</f>
        <v>-7.640552</v>
      </c>
      <c r="G28" s="5" t="n">
        <f aca="false">Model_Base!H61</f>
        <v>-5.017940488</v>
      </c>
    </row>
    <row r="30" customFormat="false" ht="15" hidden="false" customHeight="false" outlineLevel="0" collapsed="false">
      <c r="A30" s="3" t="s">
        <v>34</v>
      </c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4" t="s">
        <v>35</v>
      </c>
      <c r="B31" s="5" t="n">
        <f aca="false">Mode_Compare!$B$21</f>
        <v>-20.0398393939814</v>
      </c>
    </row>
    <row r="32" customFormat="false" ht="15" hidden="false" customHeight="false" outlineLevel="0" collapsed="false">
      <c r="A32" s="4" t="s">
        <v>36</v>
      </c>
      <c r="B32" s="5" t="n">
        <f aca="false">Mode_Compare!$B$45</f>
        <v>0.856193894471032</v>
      </c>
    </row>
    <row r="33" customFormat="false" ht="15" hidden="false" customHeight="false" outlineLevel="0" collapsed="false">
      <c r="A33" s="4" t="s">
        <v>37</v>
      </c>
      <c r="B33" s="5" t="n">
        <f aca="false">Mode_Compare!$B$69</f>
        <v>-9.32532211437949</v>
      </c>
    </row>
    <row r="34" customFormat="false" ht="15" hidden="false" customHeight="false" outlineLevel="0" collapsed="false">
      <c r="A34" s="4" t="s">
        <v>38</v>
      </c>
      <c r="B34" s="5" t="n">
        <f aca="false">Mode_Compare!$B$93</f>
        <v>-6.26111301589918</v>
      </c>
    </row>
    <row r="35" customFormat="false" ht="15" hidden="false" customHeight="false" outlineLevel="0" collapsed="false">
      <c r="A35" s="4" t="s">
        <v>39</v>
      </c>
      <c r="B35" s="5" t="n">
        <f aca="false">Model_Base!$B$85</f>
        <v>11.7836029999346</v>
      </c>
    </row>
    <row r="55" customFormat="false" ht="15" hidden="false" customHeight="false" outlineLevel="0" collapsed="false">
      <c r="A55" s="11" t="s">
        <v>40</v>
      </c>
      <c r="B55" s="11" t="s">
        <v>22</v>
      </c>
      <c r="C55" s="11" t="s">
        <v>23</v>
      </c>
      <c r="D55" s="11" t="s">
        <v>24</v>
      </c>
      <c r="E55" s="11" t="s">
        <v>25</v>
      </c>
      <c r="F55" s="11" t="s">
        <v>26</v>
      </c>
      <c r="G55" s="11" t="s">
        <v>27</v>
      </c>
    </row>
    <row r="56" customFormat="false" ht="15" hidden="false" customHeight="false" outlineLevel="0" collapsed="false">
      <c r="A56" s="4" t="s">
        <v>3</v>
      </c>
      <c r="B56" s="5" t="n">
        <f aca="false">Model_Bear!C27</f>
        <v>0</v>
      </c>
      <c r="C56" s="5" t="n">
        <f aca="false">Model_Bear!D27</f>
        <v>0.69484</v>
      </c>
      <c r="D56" s="5" t="n">
        <f aca="false">Model_Bear!E27</f>
        <v>4.5206</v>
      </c>
      <c r="E56" s="5" t="n">
        <f aca="false">Model_Bear!F27</f>
        <v>8.87388</v>
      </c>
      <c r="F56" s="5" t="n">
        <f aca="false">Model_Bear!G27</f>
        <v>13.53331</v>
      </c>
      <c r="G56" s="5" t="n">
        <f aca="false">Model_Bear!H27</f>
        <v>17.7593495</v>
      </c>
    </row>
    <row r="57" customFormat="false" ht="15" hidden="false" customHeight="false" outlineLevel="0" collapsed="false">
      <c r="A57" s="4" t="s">
        <v>4</v>
      </c>
      <c r="B57" s="5" t="n">
        <f aca="false">Model_Base!C27</f>
        <v>0</v>
      </c>
      <c r="C57" s="5" t="n">
        <f aca="false">Model_Base!D27</f>
        <v>2.234</v>
      </c>
      <c r="D57" s="5" t="n">
        <f aca="false">Model_Base!E27</f>
        <v>7.475</v>
      </c>
      <c r="E57" s="5" t="n">
        <f aca="false">Model_Base!F27</f>
        <v>14.878</v>
      </c>
      <c r="F57" s="5" t="n">
        <f aca="false">Model_Base!G27</f>
        <v>22.8333</v>
      </c>
      <c r="G57" s="5" t="n">
        <f aca="false">Model_Base!H27</f>
        <v>30.047985</v>
      </c>
    </row>
    <row r="58" customFormat="false" ht="15" hidden="false" customHeight="false" outlineLevel="0" collapsed="false">
      <c r="A58" s="4" t="s">
        <v>5</v>
      </c>
      <c r="B58" s="5" t="n">
        <f aca="false">Model_Bull!C27</f>
        <v>0</v>
      </c>
      <c r="C58" s="5" t="n">
        <f aca="false">Model_Bull!D27</f>
        <v>2.82688</v>
      </c>
      <c r="D58" s="5" t="n">
        <f aca="false">Model_Bull!E27</f>
        <v>9.5206</v>
      </c>
      <c r="E58" s="5" t="n">
        <f aca="false">Model_Bull!F27</f>
        <v>19.00778</v>
      </c>
      <c r="F58" s="5" t="n">
        <f aca="false">Model_Bull!G27</f>
        <v>29.216625</v>
      </c>
      <c r="G58" s="5" t="n">
        <f aca="false">Model_Bull!H27</f>
        <v>38.47774125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8" min="2" style="0" width="11"/>
    <col collapsed="false" customWidth="true" hidden="false" outlineLevel="0" max="9" min="9" style="0" width="60"/>
  </cols>
  <sheetData>
    <row r="1" customFormat="false" ht="17.3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5" customFormat="false" ht="15" hidden="false" customHeight="false" outlineLevel="0" collapsed="false">
      <c r="A5" s="3" t="s">
        <v>43</v>
      </c>
      <c r="B5" s="10"/>
      <c r="C5" s="10"/>
      <c r="D5" s="10"/>
      <c r="E5" s="10"/>
      <c r="F5" s="10"/>
      <c r="G5" s="10"/>
      <c r="H5" s="10"/>
      <c r="I5" s="10"/>
    </row>
    <row r="6" customFormat="false" ht="15" hidden="false" customHeight="false" outlineLevel="0" collapsed="false">
      <c r="A6" s="4" t="s">
        <v>44</v>
      </c>
      <c r="B6" s="12" t="n">
        <v>20.5</v>
      </c>
      <c r="C6" s="2" t="s">
        <v>45</v>
      </c>
    </row>
    <row r="7" customFormat="false" ht="15" hidden="false" customHeight="false" outlineLevel="0" collapsed="false">
      <c r="A7" s="4" t="s">
        <v>46</v>
      </c>
      <c r="B7" s="13" t="n">
        <v>0.12</v>
      </c>
      <c r="C7" s="2" t="s">
        <v>47</v>
      </c>
    </row>
    <row r="8" customFormat="false" ht="15" hidden="false" customHeight="false" outlineLevel="0" collapsed="false">
      <c r="A8" s="4" t="s">
        <v>48</v>
      </c>
      <c r="B8" s="13" t="n">
        <v>0.03</v>
      </c>
      <c r="C8" s="2" t="s">
        <v>49</v>
      </c>
    </row>
    <row r="9" customFormat="false" ht="15" hidden="false" customHeight="false" outlineLevel="0" collapsed="false">
      <c r="A9" s="4" t="s">
        <v>50</v>
      </c>
      <c r="B9" s="13" t="n">
        <v>0.24</v>
      </c>
      <c r="C9" s="2" t="s">
        <v>51</v>
      </c>
    </row>
    <row r="10" customFormat="false" ht="15" hidden="false" customHeight="false" outlineLevel="0" collapsed="false">
      <c r="A10" s="4" t="s">
        <v>52</v>
      </c>
      <c r="B10" s="13" t="n">
        <v>0.15</v>
      </c>
      <c r="C10" s="2" t="s">
        <v>53</v>
      </c>
    </row>
    <row r="11" customFormat="false" ht="15" hidden="false" customHeight="false" outlineLevel="0" collapsed="false">
      <c r="A11" s="4" t="s">
        <v>54</v>
      </c>
      <c r="B11" s="14" t="n">
        <v>5</v>
      </c>
      <c r="C11" s="2" t="s">
        <v>55</v>
      </c>
    </row>
    <row r="12" customFormat="false" ht="15" hidden="false" customHeight="false" outlineLevel="0" collapsed="false">
      <c r="A12" s="4" t="s">
        <v>56</v>
      </c>
      <c r="B12" s="15" t="n">
        <v>5</v>
      </c>
      <c r="C12" s="2" t="s">
        <v>57</v>
      </c>
    </row>
    <row r="13" customFormat="false" ht="15" hidden="false" customHeight="false" outlineLevel="0" collapsed="false">
      <c r="A13" s="4" t="s">
        <v>58</v>
      </c>
      <c r="B13" s="16" t="n">
        <v>1.2</v>
      </c>
      <c r="C13" s="2" t="s">
        <v>59</v>
      </c>
    </row>
    <row r="15" customFormat="false" ht="15" hidden="false" customHeight="false" outlineLevel="0" collapsed="false">
      <c r="A15" s="3" t="s">
        <v>60</v>
      </c>
      <c r="B15" s="10"/>
      <c r="C15" s="10"/>
      <c r="D15" s="10"/>
      <c r="E15" s="10"/>
      <c r="F15" s="10"/>
      <c r="G15" s="10"/>
      <c r="H15" s="10"/>
      <c r="I15" s="10"/>
    </row>
    <row r="16" customFormat="false" ht="15" hidden="false" customHeight="false" outlineLevel="0" collapsed="false">
      <c r="A16" s="4" t="s">
        <v>61</v>
      </c>
      <c r="B16" s="13" t="n">
        <v>0.45</v>
      </c>
      <c r="C16" s="2" t="s">
        <v>62</v>
      </c>
    </row>
    <row r="17" customFormat="false" ht="15" hidden="false" customHeight="false" outlineLevel="0" collapsed="false">
      <c r="A17" s="4" t="s">
        <v>63</v>
      </c>
      <c r="B17" s="12" t="n">
        <v>3.2</v>
      </c>
      <c r="C17" s="2" t="s">
        <v>62</v>
      </c>
    </row>
    <row r="18" customFormat="false" ht="15" hidden="false" customHeight="false" outlineLevel="0" collapsed="false">
      <c r="A18" s="4" t="s">
        <v>64</v>
      </c>
      <c r="B18" s="17" t="n">
        <v>50</v>
      </c>
      <c r="C18" s="2" t="s">
        <v>65</v>
      </c>
    </row>
    <row r="19" customFormat="false" ht="15" hidden="false" customHeight="false" outlineLevel="0" collapsed="false">
      <c r="A19" s="4" t="s">
        <v>66</v>
      </c>
      <c r="B19" s="13" t="n">
        <v>0.18</v>
      </c>
      <c r="C19" s="2" t="s">
        <v>67</v>
      </c>
    </row>
    <row r="21" customFormat="false" ht="15" hidden="false" customHeight="false" outlineLevel="0" collapsed="false">
      <c r="A21" s="3" t="s">
        <v>68</v>
      </c>
      <c r="B21" s="10"/>
      <c r="C21" s="10"/>
      <c r="D21" s="10"/>
      <c r="E21" s="10"/>
      <c r="F21" s="10"/>
      <c r="G21" s="10"/>
      <c r="H21" s="10"/>
      <c r="I21" s="10"/>
    </row>
    <row r="22" customFormat="false" ht="15" hidden="false" customHeight="false" outlineLevel="0" collapsed="false">
      <c r="A22" s="4" t="s">
        <v>69</v>
      </c>
      <c r="B22" s="13" t="n">
        <v>0.62</v>
      </c>
      <c r="C22" s="2" t="s">
        <v>70</v>
      </c>
    </row>
    <row r="23" customFormat="false" ht="15" hidden="false" customHeight="false" outlineLevel="0" collapsed="false">
      <c r="A23" s="4" t="s">
        <v>71</v>
      </c>
      <c r="B23" s="13" t="n">
        <v>0.45</v>
      </c>
      <c r="C23" s="2" t="s">
        <v>72</v>
      </c>
    </row>
    <row r="24" customFormat="false" ht="15" hidden="false" customHeight="false" outlineLevel="0" collapsed="false">
      <c r="A24" s="4" t="s">
        <v>73</v>
      </c>
      <c r="B24" s="13" t="n">
        <v>0.7</v>
      </c>
      <c r="C24" s="2" t="s">
        <v>74</v>
      </c>
    </row>
    <row r="26" customFormat="false" ht="15" hidden="false" customHeight="false" outlineLevel="0" collapsed="false">
      <c r="A26" s="3" t="s">
        <v>75</v>
      </c>
      <c r="B26" s="10"/>
      <c r="C26" s="10"/>
      <c r="D26" s="10"/>
      <c r="E26" s="10"/>
      <c r="F26" s="10"/>
      <c r="G26" s="10"/>
      <c r="H26" s="10"/>
      <c r="I26" s="10"/>
    </row>
    <row r="27" customFormat="false" ht="15" hidden="false" customHeight="false" outlineLevel="0" collapsed="false">
      <c r="A27" s="4" t="s">
        <v>3</v>
      </c>
      <c r="B27" s="13" t="n">
        <v>0.25</v>
      </c>
      <c r="C27" s="2" t="s">
        <v>62</v>
      </c>
    </row>
    <row r="28" customFormat="false" ht="15" hidden="false" customHeight="false" outlineLevel="0" collapsed="false">
      <c r="A28" s="4" t="s">
        <v>4</v>
      </c>
      <c r="B28" s="13" t="n">
        <v>0.5</v>
      </c>
      <c r="C28" s="2" t="s">
        <v>62</v>
      </c>
    </row>
    <row r="29" customFormat="false" ht="15" hidden="false" customHeight="false" outlineLevel="0" collapsed="false">
      <c r="A29" s="4" t="s">
        <v>5</v>
      </c>
      <c r="B29" s="13" t="n">
        <v>0.25</v>
      </c>
      <c r="C29" s="2" t="s">
        <v>62</v>
      </c>
    </row>
    <row r="31" customFormat="false" ht="15" hidden="false" customHeight="false" outlineLevel="0" collapsed="false">
      <c r="A31" s="3" t="s">
        <v>76</v>
      </c>
      <c r="B31" s="10"/>
      <c r="C31" s="10"/>
      <c r="D31" s="10"/>
      <c r="E31" s="10"/>
      <c r="F31" s="10"/>
      <c r="G31" s="10"/>
      <c r="H31" s="10"/>
      <c r="I31" s="10"/>
    </row>
    <row r="32" customFormat="false" ht="15" hidden="false" customHeight="false" outlineLevel="0" collapsed="false">
      <c r="C32" s="11" t="s">
        <v>22</v>
      </c>
      <c r="D32" s="11" t="s">
        <v>23</v>
      </c>
      <c r="E32" s="11" t="s">
        <v>24</v>
      </c>
      <c r="F32" s="11" t="s">
        <v>25</v>
      </c>
      <c r="G32" s="11" t="s">
        <v>26</v>
      </c>
      <c r="H32" s="11" t="s">
        <v>27</v>
      </c>
    </row>
    <row r="33" customFormat="false" ht="15" hidden="false" customHeight="false" outlineLevel="0" collapsed="false">
      <c r="A33" s="4" t="s">
        <v>77</v>
      </c>
      <c r="D33" s="17" t="n">
        <v>450</v>
      </c>
      <c r="E33" s="17" t="n">
        <v>1200</v>
      </c>
      <c r="F33" s="17" t="n">
        <v>2100</v>
      </c>
      <c r="G33" s="17" t="n">
        <v>2900</v>
      </c>
      <c r="H33" s="17" t="n">
        <v>3500</v>
      </c>
      <c r="I33" s="2" t="s">
        <v>78</v>
      </c>
    </row>
    <row r="34" customFormat="false" ht="15" hidden="false" customHeight="false" outlineLevel="0" collapsed="false">
      <c r="A34" s="4" t="s">
        <v>79</v>
      </c>
      <c r="D34" s="17" t="n">
        <v>420</v>
      </c>
      <c r="E34" s="17" t="n">
        <v>450</v>
      </c>
      <c r="F34" s="17" t="n">
        <v>480</v>
      </c>
      <c r="G34" s="17" t="n">
        <v>500</v>
      </c>
      <c r="H34" s="17" t="n">
        <v>520</v>
      </c>
      <c r="I34" s="2" t="s">
        <v>80</v>
      </c>
    </row>
    <row r="35" customFormat="false" ht="15" hidden="false" customHeight="false" outlineLevel="0" collapsed="false">
      <c r="A35" s="4" t="s">
        <v>81</v>
      </c>
      <c r="D35" s="16" t="n">
        <v>0.3</v>
      </c>
      <c r="E35" s="16" t="n">
        <v>0.9</v>
      </c>
      <c r="F35" s="16" t="n">
        <v>1.7</v>
      </c>
      <c r="G35" s="16" t="n">
        <v>2.5</v>
      </c>
      <c r="H35" s="16" t="n">
        <v>3.2</v>
      </c>
      <c r="I35" s="2" t="s">
        <v>82</v>
      </c>
    </row>
    <row r="36" customFormat="false" ht="15" hidden="false" customHeight="false" outlineLevel="0" collapsed="false">
      <c r="A36" s="4" t="s">
        <v>83</v>
      </c>
      <c r="D36" s="17" t="n">
        <v>5000</v>
      </c>
      <c r="E36" s="17" t="n">
        <v>11000</v>
      </c>
      <c r="F36" s="17" t="n">
        <v>17000</v>
      </c>
      <c r="G36" s="17" t="n">
        <v>23000</v>
      </c>
      <c r="H36" s="17" t="n">
        <v>28000</v>
      </c>
      <c r="I36" s="2" t="s">
        <v>84</v>
      </c>
    </row>
    <row r="37" customFormat="false" ht="15" hidden="false" customHeight="false" outlineLevel="0" collapsed="false">
      <c r="A37" s="4" t="s">
        <v>85</v>
      </c>
      <c r="D37" s="16" t="n">
        <v>32</v>
      </c>
      <c r="E37" s="16" t="n">
        <v>30</v>
      </c>
      <c r="F37" s="16" t="n">
        <v>28</v>
      </c>
      <c r="G37" s="16" t="n">
        <v>26</v>
      </c>
      <c r="H37" s="16" t="n">
        <v>25</v>
      </c>
      <c r="I37" s="2" t="s">
        <v>62</v>
      </c>
    </row>
    <row r="38" customFormat="false" ht="15" hidden="false" customHeight="false" outlineLevel="0" collapsed="false">
      <c r="A38" s="4" t="s">
        <v>86</v>
      </c>
      <c r="D38" s="13" t="n">
        <v>0.14</v>
      </c>
      <c r="E38" s="13" t="n">
        <v>0.12</v>
      </c>
      <c r="F38" s="13" t="n">
        <v>0.09</v>
      </c>
      <c r="G38" s="13" t="n">
        <v>0.075</v>
      </c>
      <c r="H38" s="13" t="n">
        <v>0.06</v>
      </c>
      <c r="I38" s="2" t="s">
        <v>87</v>
      </c>
    </row>
    <row r="39" customFormat="false" ht="15" hidden="false" customHeight="false" outlineLevel="0" collapsed="false">
      <c r="A39" s="4" t="s">
        <v>88</v>
      </c>
      <c r="D39" s="13" t="n">
        <v>0.045</v>
      </c>
      <c r="E39" s="13" t="n">
        <v>0.04</v>
      </c>
      <c r="F39" s="13" t="n">
        <v>0.037</v>
      </c>
      <c r="G39" s="13" t="n">
        <v>0.035</v>
      </c>
      <c r="H39" s="13" t="n">
        <v>0.035</v>
      </c>
      <c r="I39" s="2" t="s">
        <v>89</v>
      </c>
    </row>
    <row r="40" customFormat="false" ht="15" hidden="false" customHeight="false" outlineLevel="0" collapsed="false">
      <c r="A40" s="4" t="s">
        <v>90</v>
      </c>
      <c r="D40" s="16" t="n">
        <v>1.5</v>
      </c>
      <c r="E40" s="16" t="n">
        <v>2</v>
      </c>
      <c r="F40" s="16" t="n">
        <v>2.5</v>
      </c>
      <c r="G40" s="16" t="n">
        <v>2.8</v>
      </c>
      <c r="H40" s="16" t="n">
        <v>3</v>
      </c>
      <c r="I40" s="2" t="s">
        <v>91</v>
      </c>
    </row>
    <row r="41" customFormat="false" ht="15" hidden="false" customHeight="false" outlineLevel="0" collapsed="false">
      <c r="A41" s="4" t="s">
        <v>92</v>
      </c>
      <c r="D41" s="16" t="n">
        <v>0.5</v>
      </c>
      <c r="E41" s="16" t="n">
        <v>0.6</v>
      </c>
      <c r="F41" s="16" t="n">
        <v>0.65</v>
      </c>
      <c r="G41" s="16" t="n">
        <v>0.7</v>
      </c>
      <c r="H41" s="16" t="n">
        <v>0.75</v>
      </c>
      <c r="I41" s="2" t="s">
        <v>93</v>
      </c>
    </row>
    <row r="42" customFormat="false" ht="15" hidden="false" customHeight="false" outlineLevel="0" collapsed="false">
      <c r="A42" s="4" t="s">
        <v>94</v>
      </c>
      <c r="C42" s="16" t="n">
        <v>0.8</v>
      </c>
      <c r="D42" s="16" t="n">
        <v>0.5</v>
      </c>
      <c r="E42" s="16" t="n">
        <v>0.8</v>
      </c>
      <c r="F42" s="16" t="n">
        <v>0.6</v>
      </c>
      <c r="G42" s="16" t="n">
        <v>0.5</v>
      </c>
      <c r="H42" s="16" t="n">
        <v>0.4</v>
      </c>
      <c r="I42" s="2" t="s">
        <v>95</v>
      </c>
    </row>
    <row r="43" customFormat="false" ht="15" hidden="false" customHeight="false" outlineLevel="0" collapsed="false">
      <c r="A43" s="4" t="s">
        <v>96</v>
      </c>
      <c r="D43" s="18" t="n">
        <v>486.9098714088</v>
      </c>
      <c r="E43" s="18" t="n">
        <v>518.559013050372</v>
      </c>
      <c r="F43" s="18" t="n">
        <v>552.265348898646</v>
      </c>
      <c r="G43" s="18" t="n">
        <v>588.162596577058</v>
      </c>
      <c r="H43" s="18" t="n">
        <v>626.393165354567</v>
      </c>
      <c r="I43" s="2" t="s">
        <v>97</v>
      </c>
    </row>
    <row r="44" customFormat="false" ht="15" hidden="false" customHeight="false" outlineLevel="0" collapsed="false">
      <c r="A44" s="4" t="s">
        <v>98</v>
      </c>
      <c r="D44" s="16" t="n">
        <v>2.434549357044</v>
      </c>
      <c r="E44" s="16" t="n">
        <v>7.25982618270521</v>
      </c>
      <c r="F44" s="16" t="n">
        <v>14.9111644202634</v>
      </c>
      <c r="G44" s="16" t="n">
        <v>22.9383412665053</v>
      </c>
      <c r="H44" s="16" t="n">
        <v>30.0668719370192</v>
      </c>
      <c r="I44" s="2" t="s">
        <v>99</v>
      </c>
    </row>
    <row r="46" customFormat="false" ht="15" hidden="false" customHeight="false" outlineLevel="0" collapsed="false">
      <c r="A46" s="3" t="s">
        <v>100</v>
      </c>
      <c r="B46" s="10"/>
      <c r="C46" s="10"/>
      <c r="D46" s="10"/>
      <c r="E46" s="10"/>
      <c r="F46" s="10"/>
      <c r="G46" s="10"/>
      <c r="H46" s="10"/>
      <c r="I46" s="10"/>
    </row>
    <row r="47" customFormat="false" ht="15" hidden="false" customHeight="false" outlineLevel="0" collapsed="false">
      <c r="B47" s="11" t="s">
        <v>3</v>
      </c>
      <c r="C47" s="11" t="s">
        <v>4</v>
      </c>
      <c r="D47" s="11" t="s">
        <v>5</v>
      </c>
    </row>
    <row r="48" customFormat="false" ht="15" hidden="false" customHeight="false" outlineLevel="0" collapsed="false">
      <c r="A48" s="4" t="s">
        <v>101</v>
      </c>
      <c r="B48" s="19" t="n">
        <v>0.65</v>
      </c>
      <c r="C48" s="19" t="n">
        <v>1</v>
      </c>
      <c r="D48" s="19" t="n">
        <v>1.2</v>
      </c>
    </row>
    <row r="49" customFormat="false" ht="15" hidden="false" customHeight="false" outlineLevel="0" collapsed="false">
      <c r="A49" s="4" t="s">
        <v>102</v>
      </c>
      <c r="B49" s="19" t="n">
        <v>0.8</v>
      </c>
      <c r="C49" s="19" t="n">
        <v>1</v>
      </c>
      <c r="D49" s="19" t="n">
        <v>1.1</v>
      </c>
    </row>
    <row r="50" customFormat="false" ht="15" hidden="false" customHeight="false" outlineLevel="0" collapsed="false">
      <c r="A50" s="4" t="s">
        <v>103</v>
      </c>
      <c r="B50" s="19" t="n">
        <v>0.7</v>
      </c>
      <c r="C50" s="19" t="n">
        <v>1</v>
      </c>
      <c r="D50" s="19" t="n">
        <v>1.25</v>
      </c>
    </row>
    <row r="51" customFormat="false" ht="15" hidden="false" customHeight="false" outlineLevel="0" collapsed="false">
      <c r="A51" s="4" t="s">
        <v>104</v>
      </c>
      <c r="B51" s="19" t="n">
        <v>1.25</v>
      </c>
      <c r="C51" s="19" t="n">
        <v>1</v>
      </c>
      <c r="D51" s="19" t="n">
        <v>0.9</v>
      </c>
    </row>
    <row r="52" customFormat="false" ht="15" hidden="false" customHeight="false" outlineLevel="0" collapsed="false">
      <c r="A52" s="4" t="s">
        <v>105</v>
      </c>
      <c r="B52" s="19" t="n">
        <v>1.08</v>
      </c>
      <c r="C52" s="19" t="n">
        <v>1</v>
      </c>
      <c r="D52" s="19" t="n">
        <v>0.97</v>
      </c>
    </row>
    <row r="53" customFormat="false" ht="15" hidden="false" customHeight="false" outlineLevel="0" collapsed="false">
      <c r="A53" s="4" t="s">
        <v>106</v>
      </c>
      <c r="B53" s="19" t="n">
        <v>1.2</v>
      </c>
      <c r="C53" s="19" t="n">
        <v>1</v>
      </c>
      <c r="D53" s="19" t="n">
        <v>0.95</v>
      </c>
    </row>
    <row r="54" customFormat="false" ht="15" hidden="false" customHeight="false" outlineLevel="0" collapsed="false">
      <c r="A54" s="4" t="s">
        <v>107</v>
      </c>
      <c r="B54" s="19" t="n">
        <v>1.1</v>
      </c>
      <c r="C54" s="19" t="n">
        <v>1</v>
      </c>
      <c r="D54" s="19" t="n">
        <v>0.95</v>
      </c>
    </row>
    <row r="55" customFormat="false" ht="15" hidden="false" customHeight="false" outlineLevel="0" collapsed="false">
      <c r="A55" s="4" t="s">
        <v>108</v>
      </c>
      <c r="B55" s="19" t="n">
        <v>0.5</v>
      </c>
      <c r="C55" s="19" t="n">
        <v>1</v>
      </c>
      <c r="D55" s="19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4" topLeftCell="C15" activePane="bottomRight" state="frozen"/>
      <selection pane="topLeft" activeCell="A1" activeCellId="0" sqref="A1"/>
      <selection pane="topRight" activeCell="C1" activeCellId="0" sqref="C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8" min="2" style="0" width="12"/>
  </cols>
  <sheetData>
    <row r="1" customFormat="false" ht="17.35" hidden="false" customHeight="false" outlineLevel="0" collapsed="false">
      <c r="A1" s="1" t="s">
        <v>109</v>
      </c>
    </row>
    <row r="2" customFormat="false" ht="15" hidden="false" customHeight="false" outlineLevel="0" collapsed="false">
      <c r="A2" s="4" t="s">
        <v>110</v>
      </c>
      <c r="B2" s="11" t="s">
        <v>3</v>
      </c>
    </row>
    <row r="3" customFormat="false" ht="15" hidden="false" customHeight="false" outlineLevel="0" collapsed="false">
      <c r="A3" s="4" t="s">
        <v>111</v>
      </c>
      <c r="B3" s="4" t="n">
        <v>1</v>
      </c>
    </row>
    <row r="5" customFormat="false" ht="15" hidden="false" customHeight="false" outlineLevel="0" collapsed="false">
      <c r="A5" s="4" t="s">
        <v>101</v>
      </c>
      <c r="B5" s="20" t="n">
        <f aca="false">INDEX(Assumptions!$B$48:$D$48,$B$3)</f>
        <v>0.65</v>
      </c>
    </row>
    <row r="6" customFormat="false" ht="15" hidden="false" customHeight="false" outlineLevel="0" collapsed="false">
      <c r="A6" s="4" t="s">
        <v>102</v>
      </c>
      <c r="B6" s="20" t="n">
        <f aca="false">INDEX(Assumptions!$B$49:$D$49,$B$3)</f>
        <v>0.8</v>
      </c>
    </row>
    <row r="7" customFormat="false" ht="15" hidden="false" customHeight="false" outlineLevel="0" collapsed="false">
      <c r="A7" s="4" t="s">
        <v>103</v>
      </c>
      <c r="B7" s="20" t="n">
        <f aca="false">INDEX(Assumptions!$B$50:$D$50,$B$3)</f>
        <v>0.7</v>
      </c>
    </row>
    <row r="8" customFormat="false" ht="15" hidden="false" customHeight="false" outlineLevel="0" collapsed="false">
      <c r="A8" s="4" t="s">
        <v>104</v>
      </c>
      <c r="B8" s="20" t="n">
        <f aca="false">INDEX(Assumptions!$B$51:$D$51,$B$3)</f>
        <v>1.25</v>
      </c>
    </row>
    <row r="9" customFormat="false" ht="15" hidden="false" customHeight="false" outlineLevel="0" collapsed="false">
      <c r="A9" s="4" t="s">
        <v>105</v>
      </c>
      <c r="B9" s="20" t="n">
        <f aca="false">INDEX(Assumptions!$B$52:$D$52,$B$3)</f>
        <v>1.08</v>
      </c>
    </row>
    <row r="10" customFormat="false" ht="15" hidden="false" customHeight="false" outlineLevel="0" collapsed="false">
      <c r="A10" s="4" t="s">
        <v>106</v>
      </c>
      <c r="B10" s="20" t="n">
        <f aca="false">INDEX(Assumptions!$B$53:$D$53,$B$3)</f>
        <v>1.2</v>
      </c>
    </row>
    <row r="11" customFormat="false" ht="15" hidden="false" customHeight="false" outlineLevel="0" collapsed="false">
      <c r="A11" s="4" t="s">
        <v>107</v>
      </c>
      <c r="B11" s="20" t="n">
        <f aca="false">INDEX(Assumptions!$B$54:$D$54,$B$3)</f>
        <v>1.1</v>
      </c>
    </row>
    <row r="12" customFormat="false" ht="15" hidden="false" customHeight="false" outlineLevel="0" collapsed="false">
      <c r="A12" s="4" t="s">
        <v>108</v>
      </c>
      <c r="B12" s="20" t="n">
        <f aca="false">INDEX(Assumptions!$B$55:$D$55,$B$3)</f>
        <v>0.5</v>
      </c>
    </row>
    <row r="14" customFormat="false" ht="15" hidden="false" customHeight="false" outlineLevel="0" collapsed="false">
      <c r="A14" s="3" t="s">
        <v>112</v>
      </c>
      <c r="B14" s="10"/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27</v>
      </c>
    </row>
    <row r="15" customFormat="false" ht="15" hidden="false" customHeight="false" outlineLevel="0" collapsed="false">
      <c r="A15" s="4" t="s">
        <v>113</v>
      </c>
      <c r="C15" s="21" t="n">
        <v>0</v>
      </c>
      <c r="D15" s="21" t="n">
        <v>1</v>
      </c>
      <c r="E15" s="21" t="n">
        <v>2</v>
      </c>
      <c r="F15" s="21" t="n">
        <v>3</v>
      </c>
      <c r="G15" s="21" t="n">
        <v>4</v>
      </c>
      <c r="H15" s="21" t="n">
        <v>5</v>
      </c>
    </row>
    <row r="16" customFormat="false" ht="15" hidden="false" customHeight="false" outlineLevel="0" collapsed="false">
      <c r="A16" s="4" t="s">
        <v>114</v>
      </c>
      <c r="C16" s="22" t="n">
        <v>1</v>
      </c>
      <c r="D16" s="22" t="n">
        <f aca="false">$B$12</f>
        <v>0.5</v>
      </c>
      <c r="E16" s="22" t="n">
        <v>1</v>
      </c>
      <c r="F16" s="22" t="n">
        <v>1</v>
      </c>
      <c r="G16" s="22" t="n">
        <v>1</v>
      </c>
      <c r="H16" s="22" t="n">
        <v>1</v>
      </c>
    </row>
    <row r="17" customFormat="false" ht="15" hidden="false" customHeight="false" outlineLevel="0" collapsed="false">
      <c r="A17" s="3" t="s">
        <v>115</v>
      </c>
      <c r="B17" s="10"/>
      <c r="C17" s="10"/>
      <c r="D17" s="10"/>
      <c r="E17" s="10"/>
      <c r="F17" s="10"/>
      <c r="G17" s="10"/>
      <c r="H17" s="10"/>
    </row>
    <row r="18" customFormat="false" ht="15" hidden="false" customHeight="false" outlineLevel="0" collapsed="false">
      <c r="A18" s="4" t="s">
        <v>116</v>
      </c>
      <c r="C18" s="23" t="n">
        <v>0</v>
      </c>
      <c r="D18" s="24" t="n">
        <f aca="false">Assumptions!D$33*$B$5</f>
        <v>292.5</v>
      </c>
      <c r="E18" s="24" t="n">
        <f aca="false">Assumptions!E$33*$B$5</f>
        <v>780</v>
      </c>
      <c r="F18" s="24" t="n">
        <f aca="false">Assumptions!F$33*$B$5</f>
        <v>1365</v>
      </c>
      <c r="G18" s="24" t="n">
        <f aca="false">Assumptions!G$33*$B$5</f>
        <v>1885</v>
      </c>
      <c r="H18" s="24" t="n">
        <f aca="false">Assumptions!H$33*$B$5</f>
        <v>2275</v>
      </c>
    </row>
    <row r="19" customFormat="false" ht="15" hidden="false" customHeight="false" outlineLevel="0" collapsed="false">
      <c r="A19" s="4" t="s">
        <v>117</v>
      </c>
      <c r="D19" s="23" t="n">
        <f aca="false">AVERAGE(C18,D18)</f>
        <v>146.25</v>
      </c>
      <c r="E19" s="23" t="n">
        <f aca="false">AVERAGE(D18,E18)</f>
        <v>536.25</v>
      </c>
      <c r="F19" s="23" t="n">
        <f aca="false">AVERAGE(E18,F18)</f>
        <v>1072.5</v>
      </c>
      <c r="G19" s="23" t="n">
        <f aca="false">AVERAGE(F18,G18)</f>
        <v>1625</v>
      </c>
      <c r="H19" s="23" t="n">
        <f aca="false">AVERAGE(G18,H18)</f>
        <v>2080</v>
      </c>
    </row>
    <row r="20" customFormat="false" ht="15" hidden="false" customHeight="false" outlineLevel="0" collapsed="false">
      <c r="A20" s="4" t="s">
        <v>118</v>
      </c>
      <c r="D20" s="24" t="n">
        <f aca="false">Assumptions!D$34*$B$6</f>
        <v>336</v>
      </c>
      <c r="E20" s="24" t="n">
        <f aca="false">Assumptions!E$34*$B$6</f>
        <v>360</v>
      </c>
      <c r="F20" s="24" t="n">
        <f aca="false">Assumptions!F$34*$B$6</f>
        <v>384</v>
      </c>
      <c r="G20" s="24" t="n">
        <f aca="false">Assumptions!G$34*$B$6</f>
        <v>400</v>
      </c>
      <c r="H20" s="24" t="n">
        <f aca="false">Assumptions!H$34*$B$6</f>
        <v>416</v>
      </c>
    </row>
    <row r="21" customFormat="false" ht="15" hidden="false" customHeight="false" outlineLevel="0" collapsed="false">
      <c r="A21" s="4" t="s">
        <v>119</v>
      </c>
      <c r="C21" s="25" t="n">
        <v>0</v>
      </c>
      <c r="D21" s="25" t="n">
        <f aca="false">D19*D20*12/1000000*D$16</f>
        <v>0.29484</v>
      </c>
      <c r="E21" s="25" t="n">
        <f aca="false">E19*E20*12/1000000*E$16</f>
        <v>2.3166</v>
      </c>
      <c r="F21" s="25" t="n">
        <f aca="false">F19*F20*12/1000000*F$16</f>
        <v>4.94208</v>
      </c>
      <c r="G21" s="25" t="n">
        <f aca="false">G19*G20*12/1000000*G$16</f>
        <v>7.8</v>
      </c>
      <c r="H21" s="25" t="n">
        <f aca="false">H19*H20*12/1000000*H$16</f>
        <v>10.38336</v>
      </c>
    </row>
    <row r="22" customFormat="false" ht="15" hidden="false" customHeight="false" outlineLevel="0" collapsed="false">
      <c r="A22" s="4" t="s">
        <v>120</v>
      </c>
      <c r="C22" s="23" t="n">
        <v>0</v>
      </c>
      <c r="D22" s="24" t="n">
        <f aca="false">Assumptions!D$36*$B$7</f>
        <v>3500</v>
      </c>
      <c r="E22" s="24" t="n">
        <f aca="false">Assumptions!E$36*$B$7</f>
        <v>7700</v>
      </c>
      <c r="F22" s="24" t="n">
        <f aca="false">Assumptions!F$36*$B$7</f>
        <v>11900</v>
      </c>
      <c r="G22" s="24" t="n">
        <f aca="false">Assumptions!G$36*$B$7</f>
        <v>16100</v>
      </c>
      <c r="H22" s="24" t="n">
        <f aca="false">Assumptions!H$36*$B$7</f>
        <v>19600</v>
      </c>
    </row>
    <row r="23" customFormat="false" ht="15" hidden="false" customHeight="false" outlineLevel="0" collapsed="false">
      <c r="A23" s="4" t="s">
        <v>121</v>
      </c>
      <c r="C23" s="23" t="n">
        <v>0</v>
      </c>
      <c r="D23" s="24" t="n">
        <f aca="false">C23*Assumptions!$B$16+D22</f>
        <v>3500</v>
      </c>
      <c r="E23" s="24" t="n">
        <f aca="false">D23*Assumptions!$B$16+E22</f>
        <v>9275</v>
      </c>
      <c r="F23" s="24" t="n">
        <f aca="false">E23*Assumptions!$B$16+F22</f>
        <v>16073.75</v>
      </c>
      <c r="G23" s="24" t="n">
        <f aca="false">F23*Assumptions!$B$16+G22</f>
        <v>23333.1875</v>
      </c>
      <c r="H23" s="24" t="n">
        <f aca="false">G23*Assumptions!$B$16+H22</f>
        <v>30099.934375</v>
      </c>
    </row>
    <row r="24" customFormat="false" ht="15" hidden="false" customHeight="false" outlineLevel="0" collapsed="false">
      <c r="A24" s="4" t="s">
        <v>122</v>
      </c>
      <c r="C24" s="23" t="n">
        <v>0</v>
      </c>
      <c r="D24" s="24" t="n">
        <f aca="false">D23*Assumptions!$B$17</f>
        <v>11200</v>
      </c>
      <c r="E24" s="24" t="n">
        <f aca="false">E23*Assumptions!$B$17</f>
        <v>29680</v>
      </c>
      <c r="F24" s="24" t="n">
        <f aca="false">F23*Assumptions!$B$17</f>
        <v>51436</v>
      </c>
      <c r="G24" s="24" t="n">
        <f aca="false">G23*Assumptions!$B$17</f>
        <v>74666.2</v>
      </c>
      <c r="H24" s="24" t="n">
        <f aca="false">H23*Assumptions!$B$17</f>
        <v>96319.79</v>
      </c>
    </row>
    <row r="25" customFormat="false" ht="15" hidden="false" customHeight="false" outlineLevel="0" collapsed="false">
      <c r="A25" s="4" t="s">
        <v>123</v>
      </c>
      <c r="C25" s="25" t="n">
        <v>0</v>
      </c>
      <c r="D25" s="5" t="n">
        <f aca="false">D24*Assumptions!$B$18/1000000*D$16</f>
        <v>0.28</v>
      </c>
      <c r="E25" s="5" t="n">
        <f aca="false">E24*Assumptions!$B$18/1000000*E$16</f>
        <v>1.484</v>
      </c>
      <c r="F25" s="5" t="n">
        <f aca="false">F24*Assumptions!$B$18/1000000*F$16</f>
        <v>2.5718</v>
      </c>
      <c r="G25" s="5" t="n">
        <f aca="false">G24*Assumptions!$B$18/1000000*G$16</f>
        <v>3.73331</v>
      </c>
      <c r="H25" s="5" t="n">
        <f aca="false">H24*Assumptions!$B$18/1000000*H$16</f>
        <v>4.8159895</v>
      </c>
    </row>
    <row r="26" customFormat="false" ht="15" hidden="false" customHeight="false" outlineLevel="0" collapsed="false">
      <c r="A26" s="4" t="s">
        <v>124</v>
      </c>
      <c r="C26" s="25" t="n">
        <v>0</v>
      </c>
      <c r="D26" s="5" t="n">
        <f aca="false">Assumptions!D$35*$B$6*D$16</f>
        <v>0.12</v>
      </c>
      <c r="E26" s="5" t="n">
        <f aca="false">Assumptions!E$35*$B$6*E$16</f>
        <v>0.72</v>
      </c>
      <c r="F26" s="5" t="n">
        <f aca="false">Assumptions!F$35*$B$6*F$16</f>
        <v>1.36</v>
      </c>
      <c r="G26" s="5" t="n">
        <f aca="false">Assumptions!G$35*$B$6*G$16</f>
        <v>2</v>
      </c>
      <c r="H26" s="5" t="n">
        <f aca="false">Assumptions!H$35*$B$6*H$16</f>
        <v>2.56</v>
      </c>
    </row>
    <row r="27" customFormat="false" ht="15" hidden="false" customHeight="false" outlineLevel="0" collapsed="false">
      <c r="A27" s="11" t="s">
        <v>125</v>
      </c>
      <c r="C27" s="26" t="n">
        <v>0</v>
      </c>
      <c r="D27" s="26" t="n">
        <f aca="false">D21+D25+D26</f>
        <v>0.69484</v>
      </c>
      <c r="E27" s="26" t="n">
        <f aca="false">E21+E25+E26</f>
        <v>4.5206</v>
      </c>
      <c r="F27" s="26" t="n">
        <f aca="false">F21+F25+F26</f>
        <v>8.87388</v>
      </c>
      <c r="G27" s="26" t="n">
        <f aca="false">G21+G25+G26</f>
        <v>13.53331</v>
      </c>
      <c r="H27" s="26" t="n">
        <f aca="false">H21+H25+H26</f>
        <v>17.7593495</v>
      </c>
    </row>
    <row r="28" customFormat="false" ht="15" hidden="false" customHeight="false" outlineLevel="0" collapsed="false">
      <c r="A28" s="4" t="s">
        <v>126</v>
      </c>
      <c r="E28" s="27" t="n">
        <f aca="false">IFERROR(E27/D27-1,0)</f>
        <v>5.50595820620575</v>
      </c>
      <c r="F28" s="27" t="n">
        <f aca="false">IFERROR(F27/E27-1,0)</f>
        <v>0.962987214086626</v>
      </c>
      <c r="G28" s="27" t="n">
        <f aca="false">IFERROR(G27/F27-1,0)</f>
        <v>0.525072459848454</v>
      </c>
      <c r="H28" s="27" t="n">
        <f aca="false">IFERROR(H27/G27-1,0)</f>
        <v>0.312269466967061</v>
      </c>
    </row>
    <row r="29" customFormat="false" ht="15" hidden="false" customHeight="false" outlineLevel="0" collapsed="false">
      <c r="A29" s="4" t="s">
        <v>127</v>
      </c>
      <c r="D29" s="6" t="n">
        <f aca="false">IFERROR(D27/Assumptions!D$43,0)</f>
        <v>0.00142704028158145</v>
      </c>
      <c r="E29" s="6" t="n">
        <f aca="false">IFERROR(E27/Assumptions!E$43,0)</f>
        <v>0.00871761918360655</v>
      </c>
      <c r="F29" s="6" t="n">
        <f aca="false">IFERROR(F27/Assumptions!F$43,0)</f>
        <v>0.0160681455349258</v>
      </c>
      <c r="G29" s="6" t="n">
        <f aca="false">IFERROR(G27/Assumptions!G$43,0)</f>
        <v>0.0230094706442744</v>
      </c>
      <c r="H29" s="6" t="n">
        <f aca="false">IFERROR(H27/Assumptions!H$43,0)</f>
        <v>0.02835176129348</v>
      </c>
    </row>
    <row r="30" customFormat="false" ht="15" hidden="false" customHeight="false" outlineLevel="0" collapsed="false">
      <c r="A30" s="3" t="s">
        <v>29</v>
      </c>
      <c r="B30" s="10"/>
      <c r="C30" s="10"/>
      <c r="D30" s="10"/>
      <c r="E30" s="10"/>
      <c r="F30" s="10"/>
      <c r="G30" s="10"/>
      <c r="H30" s="10"/>
    </row>
    <row r="31" customFormat="false" ht="15" hidden="false" customHeight="false" outlineLevel="0" collapsed="false">
      <c r="A31" s="4" t="s">
        <v>128</v>
      </c>
      <c r="C31" s="25" t="n">
        <v>0</v>
      </c>
      <c r="D31" s="5" t="n">
        <f aca="false">D21*Assumptions!$B$22*$B$9</f>
        <v>0.197424864</v>
      </c>
      <c r="E31" s="5" t="n">
        <f aca="false">E21*Assumptions!$B$22*$B$9</f>
        <v>1.55119536</v>
      </c>
      <c r="F31" s="5" t="n">
        <f aca="false">F21*Assumptions!$B$22*$B$9</f>
        <v>3.309216768</v>
      </c>
      <c r="G31" s="5" t="n">
        <f aca="false">G21*Assumptions!$B$22*$B$9</f>
        <v>5.22288</v>
      </c>
      <c r="H31" s="5" t="n">
        <f aca="false">H21*Assumptions!$B$22*$B$9</f>
        <v>6.952697856</v>
      </c>
    </row>
    <row r="32" customFormat="false" ht="15" hidden="false" customHeight="false" outlineLevel="0" collapsed="false">
      <c r="A32" s="4" t="s">
        <v>129</v>
      </c>
      <c r="C32" s="25" t="n">
        <v>0</v>
      </c>
      <c r="D32" s="5" t="n">
        <f aca="false">D25*Assumptions!$B$23*$B$9</f>
        <v>0.13608</v>
      </c>
      <c r="E32" s="5" t="n">
        <f aca="false">E25*Assumptions!$B$23*$B$9</f>
        <v>0.721224</v>
      </c>
      <c r="F32" s="5" t="n">
        <f aca="false">F25*Assumptions!$B$23*$B$9</f>
        <v>1.2498948</v>
      </c>
      <c r="G32" s="5" t="n">
        <f aca="false">G25*Assumptions!$B$23*$B$9</f>
        <v>1.81438866</v>
      </c>
      <c r="H32" s="5" t="n">
        <f aca="false">H25*Assumptions!$B$23*$B$9</f>
        <v>2.340570897</v>
      </c>
    </row>
    <row r="33" customFormat="false" ht="15" hidden="false" customHeight="false" outlineLevel="0" collapsed="false">
      <c r="A33" s="4" t="s">
        <v>130</v>
      </c>
      <c r="C33" s="25" t="n">
        <v>0</v>
      </c>
      <c r="D33" s="5" t="n">
        <f aca="false">D26*Assumptions!$B$24*$B$9</f>
        <v>0.09072</v>
      </c>
      <c r="E33" s="5" t="n">
        <f aca="false">E26*Assumptions!$B$24*$B$9</f>
        <v>0.54432</v>
      </c>
      <c r="F33" s="5" t="n">
        <f aca="false">F26*Assumptions!$B$24*$B$9</f>
        <v>1.02816</v>
      </c>
      <c r="G33" s="5" t="n">
        <f aca="false">G26*Assumptions!$B$24*$B$9</f>
        <v>1.512</v>
      </c>
      <c r="H33" s="5" t="n">
        <f aca="false">H26*Assumptions!$B$24*$B$9</f>
        <v>1.93536</v>
      </c>
    </row>
    <row r="34" customFormat="false" ht="15" hidden="false" customHeight="false" outlineLevel="0" collapsed="false">
      <c r="A34" s="11" t="s">
        <v>29</v>
      </c>
      <c r="C34" s="26" t="n">
        <v>0</v>
      </c>
      <c r="D34" s="26" t="n">
        <f aca="false">D27-D31-D32-D33</f>
        <v>0.270615136</v>
      </c>
      <c r="E34" s="26" t="n">
        <f aca="false">E27-E31-E32-E33</f>
        <v>1.70386064</v>
      </c>
      <c r="F34" s="26" t="n">
        <f aca="false">F27-F31-F32-F33</f>
        <v>3.286608432</v>
      </c>
      <c r="G34" s="26" t="n">
        <f aca="false">G27-G31-G32-G33</f>
        <v>4.98404134</v>
      </c>
      <c r="H34" s="26" t="n">
        <f aca="false">H27-H31-H32-H33</f>
        <v>6.530720747</v>
      </c>
    </row>
    <row r="35" customFormat="false" ht="15" hidden="false" customHeight="false" outlineLevel="0" collapsed="false">
      <c r="A35" s="4" t="s">
        <v>131</v>
      </c>
      <c r="D35" s="27" t="n">
        <f aca="false">IFERROR(D34/D27,0)</f>
        <v>0.389463957169996</v>
      </c>
      <c r="E35" s="27" t="n">
        <f aca="false">IFERROR(E34/E27,0)</f>
        <v>0.376910286245189</v>
      </c>
      <c r="F35" s="27" t="n">
        <f aca="false">IFERROR(F34/F27,0)</f>
        <v>0.370368816346401</v>
      </c>
      <c r="G35" s="27" t="n">
        <f aca="false">IFERROR(G34/G27,0)</f>
        <v>0.368279551713513</v>
      </c>
      <c r="H35" s="27" t="n">
        <f aca="false">IFERROR(H34/H27,0)</f>
        <v>0.367734231876004</v>
      </c>
    </row>
    <row r="36" customFormat="false" ht="15" hidden="false" customHeight="false" outlineLevel="0" collapsed="false">
      <c r="A36" s="3" t="s">
        <v>132</v>
      </c>
      <c r="B36" s="10"/>
      <c r="C36" s="10"/>
      <c r="D36" s="10"/>
      <c r="E36" s="10"/>
      <c r="F36" s="10"/>
      <c r="G36" s="10"/>
      <c r="H36" s="10"/>
    </row>
    <row r="37" customFormat="false" ht="15" hidden="false" customHeight="false" outlineLevel="0" collapsed="false">
      <c r="A37" s="4" t="s">
        <v>106</v>
      </c>
      <c r="C37" s="25" t="n">
        <v>0</v>
      </c>
      <c r="D37" s="5" t="n">
        <f aca="false">(D21+D26)*Assumptions!D$38*$B$10</f>
        <v>0.06969312</v>
      </c>
      <c r="E37" s="5" t="n">
        <f aca="false">(E21+E26)*Assumptions!E$38*$B$10</f>
        <v>0.4372704</v>
      </c>
      <c r="F37" s="5" t="n">
        <f aca="false">(F21+F26)*Assumptions!F$38*$B$10</f>
        <v>0.68062464</v>
      </c>
      <c r="G37" s="5" t="n">
        <f aca="false">(G21+G26)*Assumptions!G$38*$B$10</f>
        <v>0.882</v>
      </c>
      <c r="H37" s="5" t="n">
        <f aca="false">(H21+H26)*Assumptions!H$38*$B$10</f>
        <v>0.93192192</v>
      </c>
    </row>
    <row r="38" customFormat="false" ht="15" hidden="false" customHeight="false" outlineLevel="0" collapsed="false">
      <c r="A38" s="4" t="s">
        <v>133</v>
      </c>
      <c r="C38" s="25" t="n">
        <v>0</v>
      </c>
      <c r="D38" s="5" t="n">
        <f aca="false">(D21+D26)*Assumptions!D$39</f>
        <v>0.0186678</v>
      </c>
      <c r="E38" s="5" t="n">
        <f aca="false">(E21+E26)*Assumptions!E$39</f>
        <v>0.121464</v>
      </c>
      <c r="F38" s="5" t="n">
        <f aca="false">(F21+F26)*Assumptions!F$39</f>
        <v>0.23317696</v>
      </c>
      <c r="G38" s="5" t="n">
        <f aca="false">(G21+G26)*Assumptions!G$39</f>
        <v>0.343</v>
      </c>
      <c r="H38" s="5" t="n">
        <f aca="false">(H21+H26)*Assumptions!H$39</f>
        <v>0.4530176</v>
      </c>
    </row>
    <row r="39" customFormat="false" ht="15" hidden="false" customHeight="false" outlineLevel="0" collapsed="false">
      <c r="A39" s="4" t="s">
        <v>134</v>
      </c>
      <c r="C39" s="25" t="n">
        <v>0</v>
      </c>
      <c r="D39" s="5" t="n">
        <f aca="false">D25*Assumptions!$B$19</f>
        <v>0.0504</v>
      </c>
      <c r="E39" s="5" t="n">
        <f aca="false">E25*Assumptions!$B$19</f>
        <v>0.26712</v>
      </c>
      <c r="F39" s="5" t="n">
        <f aca="false">F25*Assumptions!$B$19</f>
        <v>0.462924</v>
      </c>
      <c r="G39" s="5" t="n">
        <f aca="false">G25*Assumptions!$B$19</f>
        <v>0.6719958</v>
      </c>
      <c r="H39" s="5" t="n">
        <f aca="false">H25*Assumptions!$B$19</f>
        <v>0.86687811</v>
      </c>
    </row>
    <row r="40" customFormat="false" ht="15" hidden="false" customHeight="false" outlineLevel="0" collapsed="false">
      <c r="A40" s="4" t="s">
        <v>135</v>
      </c>
      <c r="C40" s="25" t="n">
        <v>0</v>
      </c>
      <c r="D40" s="5" t="n">
        <f aca="false">D22*Assumptions!D$37*$B$8/1000000</f>
        <v>0.14</v>
      </c>
      <c r="E40" s="5" t="n">
        <f aca="false">E22*Assumptions!E$37*$B$8/1000000</f>
        <v>0.28875</v>
      </c>
      <c r="F40" s="5" t="n">
        <f aca="false">F22*Assumptions!F$37*$B$8/1000000</f>
        <v>0.4165</v>
      </c>
      <c r="G40" s="5" t="n">
        <f aca="false">G22*Assumptions!G$37*$B$8/1000000</f>
        <v>0.52325</v>
      </c>
      <c r="H40" s="5" t="n">
        <f aca="false">H22*Assumptions!H$37*$B$8/1000000</f>
        <v>0.6125</v>
      </c>
    </row>
    <row r="41" customFormat="false" ht="15" hidden="false" customHeight="false" outlineLevel="0" collapsed="false">
      <c r="A41" s="4" t="s">
        <v>136</v>
      </c>
      <c r="C41" s="25" t="n">
        <v>0</v>
      </c>
      <c r="D41" s="5" t="n">
        <f aca="false">Assumptions!D$40*$B$11</f>
        <v>1.65</v>
      </c>
      <c r="E41" s="5" t="n">
        <f aca="false">Assumptions!E$40*$B$11</f>
        <v>2.2</v>
      </c>
      <c r="F41" s="5" t="n">
        <f aca="false">Assumptions!F$40*$B$11</f>
        <v>2.75</v>
      </c>
      <c r="G41" s="5" t="n">
        <f aca="false">Assumptions!G$40*$B$11</f>
        <v>3.08</v>
      </c>
      <c r="H41" s="5" t="n">
        <f aca="false">Assumptions!H$40*$B$11</f>
        <v>3.3</v>
      </c>
    </row>
    <row r="42" customFormat="false" ht="15" hidden="false" customHeight="false" outlineLevel="0" collapsed="false">
      <c r="A42" s="4" t="s">
        <v>137</v>
      </c>
      <c r="C42" s="25" t="n">
        <v>0</v>
      </c>
      <c r="D42" s="5" t="n">
        <f aca="false">Assumptions!D$41*$B$11</f>
        <v>0.55</v>
      </c>
      <c r="E42" s="5" t="n">
        <f aca="false">Assumptions!E$41*$B$11</f>
        <v>0.66</v>
      </c>
      <c r="F42" s="5" t="n">
        <f aca="false">Assumptions!F$41*$B$11</f>
        <v>0.715</v>
      </c>
      <c r="G42" s="5" t="n">
        <f aca="false">Assumptions!G$41*$B$11</f>
        <v>0.77</v>
      </c>
      <c r="H42" s="5" t="n">
        <f aca="false">Assumptions!H$41*$B$11</f>
        <v>0.825</v>
      </c>
    </row>
    <row r="43" customFormat="false" ht="15" hidden="false" customHeight="false" outlineLevel="0" collapsed="false">
      <c r="A43" s="4" t="s">
        <v>138</v>
      </c>
      <c r="C43" s="5" t="n">
        <f aca="false">Assumptions!$B$13</f>
        <v>1.2</v>
      </c>
      <c r="D43" s="25" t="n">
        <v>0</v>
      </c>
      <c r="E43" s="25" t="n">
        <v>0</v>
      </c>
      <c r="F43" s="25" t="n">
        <v>0</v>
      </c>
      <c r="G43" s="25" t="n">
        <v>0</v>
      </c>
      <c r="H43" s="25" t="n">
        <v>0</v>
      </c>
    </row>
    <row r="44" customFormat="false" ht="15" hidden="false" customHeight="false" outlineLevel="0" collapsed="false">
      <c r="A44" s="11" t="s">
        <v>139</v>
      </c>
      <c r="C44" s="26" t="n">
        <f aca="false">SUM(C37:C43)</f>
        <v>1.2</v>
      </c>
      <c r="D44" s="26" t="n">
        <f aca="false">SUM(D37:D43)</f>
        <v>2.47876092</v>
      </c>
      <c r="E44" s="26" t="n">
        <f aca="false">SUM(E37:E43)</f>
        <v>3.9746044</v>
      </c>
      <c r="F44" s="26" t="n">
        <f aca="false">SUM(F37:F43)</f>
        <v>5.2582256</v>
      </c>
      <c r="G44" s="26" t="n">
        <f aca="false">SUM(G37:G43)</f>
        <v>6.2702458</v>
      </c>
      <c r="H44" s="26" t="n">
        <f aca="false">SUM(H37:H43)</f>
        <v>6.98931763</v>
      </c>
    </row>
    <row r="45" customFormat="false" ht="15" hidden="false" customHeight="false" outlineLevel="0" collapsed="false">
      <c r="A45" s="11" t="s">
        <v>30</v>
      </c>
      <c r="C45" s="26" t="n">
        <f aca="false">C34-C44</f>
        <v>-1.2</v>
      </c>
      <c r="D45" s="26" t="n">
        <f aca="false">D34-D44</f>
        <v>-2.208145784</v>
      </c>
      <c r="E45" s="26" t="n">
        <f aca="false">E34-E44</f>
        <v>-2.27074376</v>
      </c>
      <c r="F45" s="26" t="n">
        <f aca="false">F34-F44</f>
        <v>-1.971617168</v>
      </c>
      <c r="G45" s="26" t="n">
        <f aca="false">G34-G44</f>
        <v>-1.28620446</v>
      </c>
      <c r="H45" s="26" t="n">
        <f aca="false">H34-H44</f>
        <v>-0.458596883000001</v>
      </c>
    </row>
    <row r="46" customFormat="false" ht="15" hidden="false" customHeight="false" outlineLevel="0" collapsed="false">
      <c r="A46" s="4" t="s">
        <v>140</v>
      </c>
      <c r="D46" s="27" t="n">
        <f aca="false">IFERROR(D45/D27,0)</f>
        <v>-3.17791978584998</v>
      </c>
      <c r="E46" s="27" t="n">
        <f aca="false">IFERROR(E45/E27,0)</f>
        <v>-0.50231025970004</v>
      </c>
      <c r="F46" s="27" t="n">
        <f aca="false">IFERROR(F45/F27,0)</f>
        <v>-0.222182085851961</v>
      </c>
      <c r="G46" s="27" t="n">
        <f aca="false">IFERROR(G45/G27,0)</f>
        <v>-0.0950399022855459</v>
      </c>
      <c r="H46" s="27" t="n">
        <f aca="false">IFERROR(H45/H27,0)</f>
        <v>-0.0258228423850773</v>
      </c>
    </row>
    <row r="47" customFormat="false" ht="15" hidden="false" customHeight="false" outlineLevel="0" collapsed="false">
      <c r="A47" s="4" t="s">
        <v>141</v>
      </c>
      <c r="C47" s="5" t="n">
        <f aca="false">Assumptions!C$42</f>
        <v>0.8</v>
      </c>
      <c r="D47" s="5" t="n">
        <f aca="false">Assumptions!D$42</f>
        <v>0.5</v>
      </c>
      <c r="E47" s="5" t="n">
        <f aca="false">Assumptions!E$42</f>
        <v>0.8</v>
      </c>
      <c r="F47" s="5" t="n">
        <f aca="false">Assumptions!F$42</f>
        <v>0.6</v>
      </c>
      <c r="G47" s="5" t="n">
        <f aca="false">Assumptions!G$42</f>
        <v>0.5</v>
      </c>
      <c r="H47" s="5" t="n">
        <f aca="false">Assumptions!H$42</f>
        <v>0.4</v>
      </c>
    </row>
    <row r="48" customFormat="false" ht="15" hidden="false" customHeight="false" outlineLevel="0" collapsed="false">
      <c r="A48" s="4" t="s">
        <v>142</v>
      </c>
      <c r="C48" s="25" t="n">
        <v>0</v>
      </c>
      <c r="D48" s="5" t="n">
        <f aca="false">SUM($C47:C47)/Assumptions!$B$12</f>
        <v>0.16</v>
      </c>
      <c r="E48" s="5" t="n">
        <f aca="false">SUM($C47:D47)/Assumptions!$B$12</f>
        <v>0.26</v>
      </c>
      <c r="F48" s="5" t="n">
        <f aca="false">SUM($C47:E47)/Assumptions!$B$12</f>
        <v>0.42</v>
      </c>
      <c r="G48" s="5" t="n">
        <f aca="false">SUM($C47:F47)/Assumptions!$B$12</f>
        <v>0.54</v>
      </c>
      <c r="H48" s="5" t="n">
        <f aca="false">SUM($C47:G47)/Assumptions!$B$12</f>
        <v>0.64</v>
      </c>
    </row>
    <row r="49" customFormat="false" ht="15" hidden="false" customHeight="false" outlineLevel="0" collapsed="false">
      <c r="A49" s="11" t="s">
        <v>31</v>
      </c>
      <c r="C49" s="26" t="n">
        <f aca="false">C45-C48</f>
        <v>-1.2</v>
      </c>
      <c r="D49" s="26" t="n">
        <f aca="false">D45-D48</f>
        <v>-2.368145784</v>
      </c>
      <c r="E49" s="26" t="n">
        <f aca="false">E45-E48</f>
        <v>-2.53074376</v>
      </c>
      <c r="F49" s="26" t="n">
        <f aca="false">F45-F48</f>
        <v>-2.391617168</v>
      </c>
      <c r="G49" s="26" t="n">
        <f aca="false">G45-G48</f>
        <v>-1.82620446</v>
      </c>
      <c r="H49" s="26" t="n">
        <f aca="false">H45-H48</f>
        <v>-1.098596883</v>
      </c>
    </row>
    <row r="50" customFormat="false" ht="15" hidden="false" customHeight="false" outlineLevel="0" collapsed="false">
      <c r="A50" s="4" t="s">
        <v>143</v>
      </c>
      <c r="D50" s="27" t="n">
        <f aca="false">IFERROR(D49/D27,0)</f>
        <v>-3.40818862471936</v>
      </c>
      <c r="E50" s="27" t="n">
        <f aca="false">IFERROR(E49/E27,0)</f>
        <v>-0.559824748927134</v>
      </c>
      <c r="F50" s="27" t="n">
        <f aca="false">IFERROR(F49/F27,0)</f>
        <v>-0.26951200241608</v>
      </c>
      <c r="G50" s="27" t="n">
        <f aca="false">IFERROR(G49/G27,0)</f>
        <v>-0.134941448913828</v>
      </c>
      <c r="H50" s="27" t="n">
        <f aca="false">IFERROR(H49/H27,0)</f>
        <v>-0.0618601983704415</v>
      </c>
    </row>
    <row r="51" customFormat="false" ht="15" hidden="false" customHeight="false" outlineLevel="0" collapsed="false">
      <c r="A51" s="3" t="s">
        <v>144</v>
      </c>
      <c r="B51" s="10"/>
      <c r="C51" s="10"/>
      <c r="D51" s="10"/>
      <c r="E51" s="10"/>
      <c r="F51" s="10"/>
      <c r="G51" s="10"/>
      <c r="H51" s="10"/>
    </row>
    <row r="52" customFormat="false" ht="15" hidden="false" customHeight="false" outlineLevel="0" collapsed="false">
      <c r="A52" s="4" t="s">
        <v>145</v>
      </c>
      <c r="C52" s="25" t="n">
        <v>0</v>
      </c>
      <c r="D52" s="25" t="n">
        <f aca="false">C55</f>
        <v>1.2</v>
      </c>
      <c r="E52" s="25" t="n">
        <f aca="false">D55</f>
        <v>3.568145784</v>
      </c>
      <c r="F52" s="25" t="n">
        <f aca="false">E55</f>
        <v>6.098889544</v>
      </c>
      <c r="G52" s="25" t="n">
        <f aca="false">F55</f>
        <v>8.490506712</v>
      </c>
      <c r="H52" s="25" t="n">
        <f aca="false">G55</f>
        <v>10.316711172</v>
      </c>
    </row>
    <row r="53" customFormat="false" ht="15" hidden="false" customHeight="false" outlineLevel="0" collapsed="false">
      <c r="A53" s="4" t="s">
        <v>146</v>
      </c>
      <c r="C53" s="25" t="n">
        <f aca="false">MAX(-C49,0)</f>
        <v>1.2</v>
      </c>
      <c r="D53" s="25" t="n">
        <f aca="false">MAX(-D49,0)</f>
        <v>2.368145784</v>
      </c>
      <c r="E53" s="25" t="n">
        <f aca="false">MAX(-E49,0)</f>
        <v>2.53074376</v>
      </c>
      <c r="F53" s="25" t="n">
        <f aca="false">MAX(-F49,0)</f>
        <v>2.391617168</v>
      </c>
      <c r="G53" s="25" t="n">
        <f aca="false">MAX(-G49,0)</f>
        <v>1.82620446</v>
      </c>
      <c r="H53" s="25" t="n">
        <f aca="false">MAX(-H49,0)</f>
        <v>1.098596883</v>
      </c>
    </row>
    <row r="54" customFormat="false" ht="15" hidden="false" customHeight="false" outlineLevel="0" collapsed="false">
      <c r="A54" s="4" t="s">
        <v>147</v>
      </c>
      <c r="C54" s="25" t="n">
        <v>0</v>
      </c>
      <c r="D54" s="25" t="n">
        <f aca="false">MIN(D52,MAX(D49,0))</f>
        <v>0</v>
      </c>
      <c r="E54" s="25" t="n">
        <f aca="false">MIN(E52,MAX(E49,0))</f>
        <v>0</v>
      </c>
      <c r="F54" s="25" t="n">
        <f aca="false">MIN(F52,MAX(F49,0))</f>
        <v>0</v>
      </c>
      <c r="G54" s="25" t="n">
        <f aca="false">MIN(G52,MAX(G49,0))</f>
        <v>0</v>
      </c>
      <c r="H54" s="25" t="n">
        <f aca="false">MIN(H52,MAX(H49,0))</f>
        <v>0</v>
      </c>
    </row>
    <row r="55" customFormat="false" ht="15" hidden="false" customHeight="false" outlineLevel="0" collapsed="false">
      <c r="A55" s="4" t="s">
        <v>148</v>
      </c>
      <c r="C55" s="25" t="n">
        <f aca="false">C52+C53-C54</f>
        <v>1.2</v>
      </c>
      <c r="D55" s="25" t="n">
        <f aca="false">D52+D53-D54</f>
        <v>3.568145784</v>
      </c>
      <c r="E55" s="25" t="n">
        <f aca="false">E52+E53-E54</f>
        <v>6.098889544</v>
      </c>
      <c r="F55" s="25" t="n">
        <f aca="false">F52+F53-F54</f>
        <v>8.490506712</v>
      </c>
      <c r="G55" s="25" t="n">
        <f aca="false">G52+G53-G54</f>
        <v>10.316711172</v>
      </c>
      <c r="H55" s="25" t="n">
        <f aca="false">H52+H53-H54</f>
        <v>11.415308055</v>
      </c>
    </row>
    <row r="56" customFormat="false" ht="15" hidden="false" customHeight="false" outlineLevel="0" collapsed="false">
      <c r="A56" s="4" t="s">
        <v>149</v>
      </c>
      <c r="C56" s="25" t="n">
        <v>0</v>
      </c>
      <c r="D56" s="5" t="n">
        <f aca="false">(MAX(D49,0)-D54)*Assumptions!$B$9</f>
        <v>0</v>
      </c>
      <c r="E56" s="5" t="n">
        <f aca="false">(MAX(E49,0)-E54)*Assumptions!$B$9</f>
        <v>0</v>
      </c>
      <c r="F56" s="5" t="n">
        <f aca="false">(MAX(F49,0)-F54)*Assumptions!$B$9</f>
        <v>0</v>
      </c>
      <c r="G56" s="5" t="n">
        <f aca="false">(MAX(G49,0)-G54)*Assumptions!$B$9</f>
        <v>0</v>
      </c>
      <c r="H56" s="5" t="n">
        <f aca="false">(MAX(H49,0)-H54)*Assumptions!$B$9</f>
        <v>0</v>
      </c>
    </row>
    <row r="57" customFormat="false" ht="15" hidden="false" customHeight="false" outlineLevel="0" collapsed="false">
      <c r="A57" s="3" t="s">
        <v>150</v>
      </c>
      <c r="B57" s="10"/>
      <c r="C57" s="10"/>
      <c r="D57" s="10"/>
      <c r="E57" s="10"/>
      <c r="F57" s="10"/>
      <c r="G57" s="10"/>
      <c r="H57" s="10"/>
    </row>
    <row r="58" customFormat="false" ht="15" hidden="false" customHeight="false" outlineLevel="0" collapsed="false">
      <c r="A58" s="4" t="s">
        <v>151</v>
      </c>
      <c r="C58" s="25" t="n">
        <v>0</v>
      </c>
      <c r="D58" s="5" t="n">
        <f aca="false">D27*Assumptions!$B$10</f>
        <v>0.104226</v>
      </c>
      <c r="E58" s="5" t="n">
        <f aca="false">E27*Assumptions!$B$10</f>
        <v>0.67809</v>
      </c>
      <c r="F58" s="5" t="n">
        <f aca="false">F27*Assumptions!$B$10</f>
        <v>1.331082</v>
      </c>
      <c r="G58" s="5" t="n">
        <f aca="false">G27*Assumptions!$B$10</f>
        <v>2.0299965</v>
      </c>
      <c r="H58" s="5" t="n">
        <f aca="false">H27*Assumptions!$B$10</f>
        <v>2.663902425</v>
      </c>
    </row>
    <row r="59" customFormat="false" ht="15" hidden="false" customHeight="false" outlineLevel="0" collapsed="false">
      <c r="A59" s="4" t="s">
        <v>152</v>
      </c>
      <c r="C59" s="25" t="n">
        <v>0</v>
      </c>
      <c r="D59" s="25" t="n">
        <f aca="false">D58-C58</f>
        <v>0.104226</v>
      </c>
      <c r="E59" s="25" t="n">
        <f aca="false">E58-D58</f>
        <v>0.573864</v>
      </c>
      <c r="F59" s="25" t="n">
        <f aca="false">F58-E58</f>
        <v>0.652992</v>
      </c>
      <c r="G59" s="25" t="n">
        <f aca="false">G58-F58</f>
        <v>0.6989145</v>
      </c>
      <c r="H59" s="25" t="n">
        <f aca="false">H58-G58</f>
        <v>0.633905925</v>
      </c>
    </row>
    <row r="60" customFormat="false" ht="15" hidden="false" customHeight="false" outlineLevel="0" collapsed="false">
      <c r="A60" s="11" t="s">
        <v>32</v>
      </c>
      <c r="C60" s="26" t="n">
        <f aca="false">C45-C56-C47-C59</f>
        <v>-2</v>
      </c>
      <c r="D60" s="26" t="n">
        <f aca="false">D45-D56-D47-D59</f>
        <v>-2.812371784</v>
      </c>
      <c r="E60" s="26" t="n">
        <f aca="false">E45-E56-E47-E59</f>
        <v>-3.64460776</v>
      </c>
      <c r="F60" s="26" t="n">
        <f aca="false">F45-F56-F47-F59</f>
        <v>-3.224609168</v>
      </c>
      <c r="G60" s="26" t="n">
        <f aca="false">G45-G56-G47-G59</f>
        <v>-2.48511896</v>
      </c>
      <c r="H60" s="26" t="n">
        <f aca="false">H45-H56-H47-H59</f>
        <v>-1.492502808</v>
      </c>
    </row>
    <row r="61" customFormat="false" ht="15" hidden="false" customHeight="false" outlineLevel="0" collapsed="false">
      <c r="A61" s="4" t="s">
        <v>153</v>
      </c>
      <c r="C61" s="25" t="n">
        <f aca="false">C60</f>
        <v>-2</v>
      </c>
      <c r="D61" s="25" t="n">
        <f aca="false">C61+D60</f>
        <v>-4.812371784</v>
      </c>
      <c r="E61" s="25" t="n">
        <f aca="false">D61+E60</f>
        <v>-8.456979544</v>
      </c>
      <c r="F61" s="25" t="n">
        <f aca="false">E61+F60</f>
        <v>-11.681588712</v>
      </c>
      <c r="G61" s="25" t="n">
        <f aca="false">F61+G60</f>
        <v>-14.166707672</v>
      </c>
      <c r="H61" s="25" t="n">
        <f aca="false">G61+H60</f>
        <v>-15.65921048</v>
      </c>
    </row>
    <row r="62" customFormat="false" ht="15" hidden="false" customHeight="false" outlineLevel="0" collapsed="false">
      <c r="A62" s="4" t="s">
        <v>154</v>
      </c>
      <c r="C62" s="28" t="n">
        <f aca="false">1/(1+Assumptions!$B$7)^C15</f>
        <v>1</v>
      </c>
      <c r="D62" s="28" t="n">
        <f aca="false">1/(1+Assumptions!$B$7)^D15</f>
        <v>0.892857142857143</v>
      </c>
      <c r="E62" s="28" t="n">
        <f aca="false">1/(1+Assumptions!$B$7)^E15</f>
        <v>0.79719387755102</v>
      </c>
      <c r="F62" s="28" t="n">
        <f aca="false">1/(1+Assumptions!$B$7)^F15</f>
        <v>0.711780247813411</v>
      </c>
      <c r="G62" s="28" t="n">
        <f aca="false">1/(1+Assumptions!$B$7)^G15</f>
        <v>0.635518078404831</v>
      </c>
      <c r="H62" s="28" t="n">
        <f aca="false">1/(1+Assumptions!$B$7)^H15</f>
        <v>0.567426855718599</v>
      </c>
    </row>
    <row r="63" customFormat="false" ht="15" hidden="false" customHeight="false" outlineLevel="0" collapsed="false">
      <c r="A63" s="4" t="s">
        <v>155</v>
      </c>
      <c r="C63" s="25" t="n">
        <f aca="false">C60*C62</f>
        <v>-2</v>
      </c>
      <c r="D63" s="25" t="n">
        <f aca="false">D60*D62</f>
        <v>-2.51104623571429</v>
      </c>
      <c r="E63" s="25" t="n">
        <f aca="false">E60*E62</f>
        <v>-2.90545899234694</v>
      </c>
      <c r="F63" s="25" t="n">
        <f aca="false">F60*F62</f>
        <v>-2.29521311270044</v>
      </c>
      <c r="G63" s="25" t="n">
        <f aca="false">G60*G62</f>
        <v>-1.57933802606661</v>
      </c>
      <c r="H63" s="25" t="n">
        <f aca="false">H60*H62</f>
        <v>-0.846886175494621</v>
      </c>
    </row>
    <row r="64" customFormat="false" ht="15" hidden="false" customHeight="false" outlineLevel="0" collapsed="false">
      <c r="A64" s="4" t="s">
        <v>156</v>
      </c>
      <c r="H64" s="5" t="n">
        <f aca="false">MAX(H60,0)*(1+Assumptions!$B$8)/(Assumptions!$B$7-Assumptions!$B$8)</f>
        <v>0</v>
      </c>
    </row>
    <row r="65" customFormat="false" ht="15" hidden="false" customHeight="false" outlineLevel="0" collapsed="false">
      <c r="A65" s="4" t="s">
        <v>157</v>
      </c>
      <c r="C65" s="25" t="n">
        <f aca="false">C60</f>
        <v>-2</v>
      </c>
      <c r="D65" s="25" t="n">
        <f aca="false">D60</f>
        <v>-2.812371784</v>
      </c>
      <c r="E65" s="25" t="n">
        <f aca="false">E60</f>
        <v>-3.64460776</v>
      </c>
      <c r="F65" s="25" t="n">
        <f aca="false">F60</f>
        <v>-3.224609168</v>
      </c>
      <c r="G65" s="25" t="n">
        <f aca="false">G60</f>
        <v>-2.48511896</v>
      </c>
      <c r="H65" s="25" t="n">
        <f aca="false">H60+H64</f>
        <v>-1.492502808</v>
      </c>
    </row>
    <row r="66" customFormat="false" ht="15" hidden="false" customHeight="false" outlineLevel="0" collapsed="false">
      <c r="A66" s="4" t="s">
        <v>158</v>
      </c>
      <c r="H66" s="5" t="n">
        <f aca="false">MAX(H45,0)*Assumptions!$B$11</f>
        <v>0</v>
      </c>
    </row>
    <row r="67" customFormat="false" ht="15" hidden="false" customHeight="false" outlineLevel="0" collapsed="false">
      <c r="A67" s="4" t="s">
        <v>159</v>
      </c>
      <c r="C67" s="25" t="n">
        <f aca="false">C60</f>
        <v>-2</v>
      </c>
      <c r="D67" s="25" t="n">
        <f aca="false">D60</f>
        <v>-2.812371784</v>
      </c>
      <c r="E67" s="25" t="n">
        <f aca="false">E60</f>
        <v>-3.64460776</v>
      </c>
      <c r="F67" s="25" t="n">
        <f aca="false">F60</f>
        <v>-3.224609168</v>
      </c>
      <c r="G67" s="25" t="n">
        <f aca="false">G60</f>
        <v>-2.48511896</v>
      </c>
      <c r="H67" s="25" t="n">
        <f aca="false">H60+H66</f>
        <v>-1.492502808</v>
      </c>
    </row>
    <row r="68" customFormat="false" ht="15" hidden="false" customHeight="false" outlineLevel="0" collapsed="false">
      <c r="A68" s="4" t="s">
        <v>160</v>
      </c>
      <c r="C68" s="21" t="n">
        <v>0</v>
      </c>
      <c r="D68" s="21" t="n">
        <f aca="false">IF(AND(D61&gt;=0,C61&lt;0),D$15,0)</f>
        <v>0</v>
      </c>
      <c r="E68" s="21" t="n">
        <f aca="false">IF(AND(E61&gt;=0,D61&lt;0),E$15,0)</f>
        <v>0</v>
      </c>
      <c r="F68" s="21" t="n">
        <f aca="false">IF(AND(F61&gt;=0,E61&lt;0),F$15,0)</f>
        <v>0</v>
      </c>
      <c r="G68" s="21" t="n">
        <f aca="false">IF(AND(G61&gt;=0,F61&lt;0),G$15,0)</f>
        <v>0</v>
      </c>
      <c r="H68" s="21" t="n">
        <f aca="false">IF(AND(H61&gt;=0,G61&lt;0),H$15,0)</f>
        <v>0</v>
      </c>
    </row>
    <row r="69" customFormat="false" ht="15" hidden="false" customHeight="false" outlineLevel="0" collapsed="false">
      <c r="A69" s="4" t="s">
        <v>161</v>
      </c>
      <c r="C69" s="21" t="n">
        <v>0</v>
      </c>
      <c r="D69" s="21" t="n">
        <f aca="false">IF(AND(D49&gt;0,C49&lt;=0),D$15,0)</f>
        <v>0</v>
      </c>
      <c r="E69" s="21" t="n">
        <f aca="false">IF(AND(E49&gt;0,D49&lt;=0),E$15,0)</f>
        <v>0</v>
      </c>
      <c r="F69" s="21" t="n">
        <f aca="false">IF(AND(F49&gt;0,E49&lt;=0),F$15,0)</f>
        <v>0</v>
      </c>
      <c r="G69" s="21" t="n">
        <f aca="false">IF(AND(G49&gt;0,F49&lt;=0),G$15,0)</f>
        <v>0</v>
      </c>
      <c r="H69" s="21" t="n">
        <f aca="false">IF(AND(H49&gt;0,G49&lt;=0),H$15,0)</f>
        <v>0</v>
      </c>
    </row>
    <row r="70" customFormat="false" ht="15" hidden="false" customHeight="false" outlineLevel="0" collapsed="false">
      <c r="A70" s="3" t="s">
        <v>162</v>
      </c>
      <c r="B70" s="10"/>
      <c r="C70" s="10"/>
      <c r="D70" s="10"/>
      <c r="E70" s="10"/>
      <c r="F70" s="10"/>
      <c r="G70" s="10"/>
      <c r="H70" s="10"/>
    </row>
    <row r="71" customFormat="false" ht="15" hidden="false" customHeight="false" outlineLevel="0" collapsed="false">
      <c r="A71" s="4" t="s">
        <v>163</v>
      </c>
      <c r="D71" s="25" t="n">
        <f aca="false">D34-D37-D38-D39-D40</f>
        <v>-0.00814578400000005</v>
      </c>
      <c r="E71" s="25" t="n">
        <f aca="false">E34-E37-E38-E39-E40</f>
        <v>0.589256239999999</v>
      </c>
      <c r="F71" s="25" t="n">
        <f aca="false">F34-F37-F38-F39-F40</f>
        <v>1.493382832</v>
      </c>
      <c r="G71" s="25" t="n">
        <f aca="false">G34-G37-G38-G39-G40</f>
        <v>2.56379554</v>
      </c>
      <c r="H71" s="25" t="n">
        <f aca="false">H34-H37-H38-H39-H40</f>
        <v>3.666403117</v>
      </c>
    </row>
    <row r="72" customFormat="false" ht="15" hidden="false" customHeight="false" outlineLevel="0" collapsed="false">
      <c r="A72" s="4" t="s">
        <v>164</v>
      </c>
      <c r="D72" s="27" t="n">
        <f aca="false">IFERROR(D71/D27,0)</f>
        <v>-0.0117232513960049</v>
      </c>
      <c r="E72" s="27" t="n">
        <f aca="false">IFERROR(E71/E27,0)</f>
        <v>0.130349121797991</v>
      </c>
      <c r="F72" s="27" t="n">
        <f aca="false">IFERROR(F71/F27,0)</f>
        <v>0.168289725802017</v>
      </c>
      <c r="G72" s="27" t="n">
        <f aca="false">IFERROR(G71/G27,0)</f>
        <v>0.189443346823504</v>
      </c>
      <c r="H72" s="27" t="n">
        <f aca="false">IFERROR(H71/H27,0)</f>
        <v>0.206449178614341</v>
      </c>
    </row>
    <row r="73" customFormat="false" ht="15" hidden="false" customHeight="false" outlineLevel="0" collapsed="false">
      <c r="A73" s="4" t="s">
        <v>165</v>
      </c>
      <c r="D73" s="25" t="n">
        <f aca="false">D41+D42</f>
        <v>2.2</v>
      </c>
      <c r="E73" s="25" t="n">
        <f aca="false">E41+E42</f>
        <v>2.86</v>
      </c>
      <c r="F73" s="25" t="n">
        <f aca="false">F41+F42</f>
        <v>3.465</v>
      </c>
      <c r="G73" s="25" t="n">
        <f aca="false">G41+G42</f>
        <v>3.85</v>
      </c>
      <c r="H73" s="25" t="n">
        <f aca="false">H41+H42</f>
        <v>4.125</v>
      </c>
    </row>
    <row r="74" customFormat="false" ht="15" hidden="false" customHeight="false" outlineLevel="0" collapsed="false">
      <c r="A74" s="4" t="s">
        <v>166</v>
      </c>
      <c r="D74" s="25" t="n">
        <f aca="false">IF(D72&gt;0,D73/D72,0)</f>
        <v>0</v>
      </c>
      <c r="E74" s="25" t="n">
        <f aca="false">IF(E72&gt;0,E73/E72,0)</f>
        <v>21.9410760928047</v>
      </c>
      <c r="F74" s="25" t="n">
        <f aca="false">IF(F72&gt;0,F73/F72,0)</f>
        <v>20.5894922193668</v>
      </c>
      <c r="G74" s="25" t="n">
        <f aca="false">IF(G72&gt;0,G73/G72,0)</f>
        <v>20.3226983927119</v>
      </c>
      <c r="H74" s="25" t="n">
        <f aca="false">IF(H72&gt;0,H73/H72,0)</f>
        <v>19.980704344219</v>
      </c>
    </row>
    <row r="75" customFormat="false" ht="15" hidden="false" customHeight="false" outlineLevel="0" collapsed="false">
      <c r="A75" s="4" t="s">
        <v>167</v>
      </c>
      <c r="D75" s="27" t="n">
        <f aca="false">IF(D27&gt;0,1-D74/D27,0)</f>
        <v>1</v>
      </c>
      <c r="E75" s="27" t="n">
        <f aca="false">IF(E27&gt;0,1-E74/E27,0)</f>
        <v>-3.85357609450178</v>
      </c>
      <c r="F75" s="27" t="n">
        <f aca="false">IF(F27&gt;0,1-F74/F27,0)</f>
        <v>-1.32023559247667</v>
      </c>
      <c r="G75" s="27" t="n">
        <f aca="false">IF(G27&gt;0,1-G74/G27,0)</f>
        <v>-0.50167981023947</v>
      </c>
      <c r="H75" s="27" t="n">
        <f aca="false">IF(H27&gt;0,1-H74/H27,0)</f>
        <v>-0.125080867642084</v>
      </c>
    </row>
    <row r="76" customFormat="false" ht="15" hidden="false" customHeight="false" outlineLevel="0" collapsed="false">
      <c r="A76" s="3" t="s">
        <v>60</v>
      </c>
      <c r="B76" s="10"/>
      <c r="C76" s="10"/>
      <c r="D76" s="10"/>
      <c r="E76" s="10"/>
      <c r="F76" s="10"/>
      <c r="G76" s="10"/>
      <c r="H76" s="10"/>
    </row>
    <row r="77" customFormat="false" ht="15" hidden="false" customHeight="false" outlineLevel="0" collapsed="false">
      <c r="A77" s="4" t="s">
        <v>168</v>
      </c>
      <c r="D77" s="5" t="n">
        <f aca="false">Assumptions!$B$18*(1-Assumptions!$B$23*$B$9-Assumptions!$B$19)</f>
        <v>16.7</v>
      </c>
      <c r="E77" s="5" t="n">
        <f aca="false">Assumptions!$B$18*(1-Assumptions!$B$23*$B$9-Assumptions!$B$19)</f>
        <v>16.7</v>
      </c>
      <c r="F77" s="5" t="n">
        <f aca="false">Assumptions!$B$18*(1-Assumptions!$B$23*$B$9-Assumptions!$B$19)</f>
        <v>16.7</v>
      </c>
      <c r="G77" s="5" t="n">
        <f aca="false">Assumptions!$B$18*(1-Assumptions!$B$23*$B$9-Assumptions!$B$19)</f>
        <v>16.7</v>
      </c>
      <c r="H77" s="5" t="n">
        <f aca="false">Assumptions!$B$18*(1-Assumptions!$B$23*$B$9-Assumptions!$B$19)</f>
        <v>16.7</v>
      </c>
    </row>
    <row r="78" customFormat="false" ht="15" hidden="false" customHeight="false" outlineLevel="0" collapsed="false">
      <c r="A78" s="4" t="s">
        <v>169</v>
      </c>
      <c r="D78" s="5" t="n">
        <f aca="false">D77*Assumptions!$B$17/(1-Assumptions!$B$16)</f>
        <v>97.1636363636364</v>
      </c>
      <c r="E78" s="5" t="n">
        <f aca="false">E77*Assumptions!$B$17/(1-Assumptions!$B$16)</f>
        <v>97.1636363636364</v>
      </c>
      <c r="F78" s="5" t="n">
        <f aca="false">F77*Assumptions!$B$17/(1-Assumptions!$B$16)</f>
        <v>97.1636363636364</v>
      </c>
      <c r="G78" s="5" t="n">
        <f aca="false">G77*Assumptions!$B$17/(1-Assumptions!$B$16)</f>
        <v>97.1636363636364</v>
      </c>
      <c r="H78" s="5" t="n">
        <f aca="false">H77*Assumptions!$B$17/(1-Assumptions!$B$16)</f>
        <v>97.1636363636364</v>
      </c>
    </row>
    <row r="79" customFormat="false" ht="15" hidden="false" customHeight="false" outlineLevel="0" collapsed="false">
      <c r="A79" s="4" t="s">
        <v>170</v>
      </c>
      <c r="D79" s="5" t="n">
        <f aca="false">Assumptions!D$37*$B$8</f>
        <v>40</v>
      </c>
      <c r="E79" s="5" t="n">
        <f aca="false">Assumptions!E$37*$B$8</f>
        <v>37.5</v>
      </c>
      <c r="F79" s="5" t="n">
        <f aca="false">Assumptions!F$37*$B$8</f>
        <v>35</v>
      </c>
      <c r="G79" s="5" t="n">
        <f aca="false">Assumptions!G$37*$B$8</f>
        <v>32.5</v>
      </c>
      <c r="H79" s="5" t="n">
        <f aca="false">Assumptions!H$37*$B$8</f>
        <v>31.25</v>
      </c>
    </row>
    <row r="80" customFormat="false" ht="15" hidden="false" customHeight="false" outlineLevel="0" collapsed="false">
      <c r="A80" s="4" t="s">
        <v>171</v>
      </c>
      <c r="D80" s="29" t="n">
        <f aca="false">IFERROR(D78/D79,0)</f>
        <v>2.42909090909091</v>
      </c>
      <c r="E80" s="29" t="n">
        <f aca="false">IFERROR(E78/E79,0)</f>
        <v>2.5910303030303</v>
      </c>
      <c r="F80" s="29" t="n">
        <f aca="false">IFERROR(F78/F79,0)</f>
        <v>2.7761038961039</v>
      </c>
      <c r="G80" s="29" t="n">
        <f aca="false">IFERROR(G78/G79,0)</f>
        <v>2.98965034965035</v>
      </c>
      <c r="H80" s="29" t="n">
        <f aca="false">IFERROR(H78/H79,0)</f>
        <v>3.10923636363636</v>
      </c>
    </row>
    <row r="82" customFormat="false" ht="15" hidden="false" customHeight="false" outlineLevel="0" collapsed="false">
      <c r="A82" s="3" t="s">
        <v>172</v>
      </c>
      <c r="B82" s="10"/>
      <c r="C82" s="10"/>
      <c r="D82" s="10"/>
      <c r="E82" s="10"/>
      <c r="F82" s="10"/>
      <c r="G82" s="10"/>
      <c r="H82" s="10"/>
    </row>
    <row r="83" customFormat="false" ht="15" hidden="false" customHeight="false" outlineLevel="0" collapsed="false">
      <c r="A83" s="11" t="s">
        <v>173</v>
      </c>
      <c r="B83" s="26" t="n">
        <f aca="false">SUM(C63:H63)</f>
        <v>-12.1379425423229</v>
      </c>
    </row>
    <row r="84" customFormat="false" ht="15" hidden="false" customHeight="false" outlineLevel="0" collapsed="false">
      <c r="A84" s="11" t="s">
        <v>174</v>
      </c>
      <c r="B84" s="26" t="n">
        <f aca="false">H64*H62</f>
        <v>0</v>
      </c>
    </row>
    <row r="85" customFormat="false" ht="15" hidden="false" customHeight="false" outlineLevel="0" collapsed="false">
      <c r="A85" s="11" t="s">
        <v>175</v>
      </c>
      <c r="B85" s="26" t="n">
        <f aca="false">B83+B84</f>
        <v>-12.1379425423229</v>
      </c>
    </row>
    <row r="86" customFormat="false" ht="15" hidden="false" customHeight="false" outlineLevel="0" collapsed="false">
      <c r="A86" s="11" t="s">
        <v>10</v>
      </c>
      <c r="B86" s="30" t="str">
        <f aca="false">IFERROR(IRR(C65:H65),"n/m")</f>
        <v>n/m</v>
      </c>
    </row>
    <row r="87" customFormat="false" ht="15" hidden="false" customHeight="false" outlineLevel="0" collapsed="false">
      <c r="A87" s="11" t="s">
        <v>176</v>
      </c>
      <c r="B87" s="30" t="str">
        <f aca="false">IFERROR(IRR(C60:H60),"n/m")</f>
        <v>n/m</v>
      </c>
    </row>
    <row r="88" customFormat="false" ht="15" hidden="false" customHeight="false" outlineLevel="0" collapsed="false">
      <c r="A88" s="11" t="s">
        <v>177</v>
      </c>
      <c r="B88" s="26" t="n">
        <f aca="false">-MIN(C61:H61)</f>
        <v>15.65921048</v>
      </c>
    </row>
    <row r="89" customFormat="false" ht="15" hidden="false" customHeight="false" outlineLevel="0" collapsed="false">
      <c r="A89" s="11" t="s">
        <v>178</v>
      </c>
      <c r="B89" s="31" t="str">
        <f aca="false">IF(MAX(D68:H68)=0,"&gt;Y5",MAX(D68:H68))</f>
        <v>&gt;Y5</v>
      </c>
    </row>
    <row r="90" customFormat="false" ht="15" hidden="false" customHeight="false" outlineLevel="0" collapsed="false">
      <c r="A90" s="11" t="s">
        <v>179</v>
      </c>
      <c r="B90" s="31" t="str">
        <f aca="false">IF(MAX(D69:H69)=0,"&gt;Y5",MAX(D69:H69))</f>
        <v>&gt;Y5</v>
      </c>
    </row>
    <row r="91" customFormat="false" ht="15" hidden="false" customHeight="false" outlineLevel="0" collapsed="false">
      <c r="A91" s="11" t="s">
        <v>180</v>
      </c>
      <c r="B91" s="26" t="n">
        <f aca="false">H27</f>
        <v>17.7593495</v>
      </c>
    </row>
    <row r="92" customFormat="false" ht="15" hidden="false" customHeight="false" outlineLevel="0" collapsed="false">
      <c r="A92" s="11" t="s">
        <v>13</v>
      </c>
      <c r="B92" s="30" t="n">
        <f aca="false">H50</f>
        <v>-0.0618601983704415</v>
      </c>
    </row>
    <row r="93" customFormat="false" ht="15" hidden="false" customHeight="false" outlineLevel="0" collapsed="false">
      <c r="A93" s="11" t="s">
        <v>181</v>
      </c>
      <c r="B93" s="30" t="n">
        <f aca="false">IFERROR(B84/B85,0)</f>
        <v>-0</v>
      </c>
    </row>
    <row r="94" customFormat="false" ht="15" hidden="false" customHeight="false" outlineLevel="0" collapsed="false">
      <c r="A94" s="11" t="s">
        <v>182</v>
      </c>
      <c r="B94" s="26" t="n">
        <f aca="false">B83+H66*H62</f>
        <v>-12.1379425423229</v>
      </c>
    </row>
    <row r="95" customFormat="false" ht="15" hidden="false" customHeight="false" outlineLevel="0" collapsed="false">
      <c r="A95" s="11" t="s">
        <v>183</v>
      </c>
      <c r="B95" s="30" t="str">
        <f aca="false">IFERROR(IRR(C67:H67),"n/m")</f>
        <v>n/m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4" topLeftCell="C15" activePane="bottomRight" state="frozen"/>
      <selection pane="topLeft" activeCell="A1" activeCellId="0" sqref="A1"/>
      <selection pane="topRight" activeCell="C1" activeCellId="0" sqref="C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8" min="2" style="0" width="12"/>
  </cols>
  <sheetData>
    <row r="1" customFormat="false" ht="17.35" hidden="false" customHeight="false" outlineLevel="0" collapsed="false">
      <c r="A1" s="1" t="s">
        <v>184</v>
      </c>
    </row>
    <row r="2" customFormat="false" ht="15" hidden="false" customHeight="false" outlineLevel="0" collapsed="false">
      <c r="A2" s="4" t="s">
        <v>110</v>
      </c>
      <c r="B2" s="11" t="s">
        <v>4</v>
      </c>
    </row>
    <row r="3" customFormat="false" ht="15" hidden="false" customHeight="false" outlineLevel="0" collapsed="false">
      <c r="A3" s="4" t="s">
        <v>111</v>
      </c>
      <c r="B3" s="4" t="n">
        <v>2</v>
      </c>
    </row>
    <row r="5" customFormat="false" ht="15" hidden="false" customHeight="false" outlineLevel="0" collapsed="false">
      <c r="A5" s="4" t="s">
        <v>101</v>
      </c>
      <c r="B5" s="20" t="n">
        <f aca="false">INDEX(Assumptions!$B$48:$D$48,$B$3)</f>
        <v>1</v>
      </c>
    </row>
    <row r="6" customFormat="false" ht="15" hidden="false" customHeight="false" outlineLevel="0" collapsed="false">
      <c r="A6" s="4" t="s">
        <v>102</v>
      </c>
      <c r="B6" s="20" t="n">
        <f aca="false">INDEX(Assumptions!$B$49:$D$49,$B$3)</f>
        <v>1</v>
      </c>
    </row>
    <row r="7" customFormat="false" ht="15" hidden="false" customHeight="false" outlineLevel="0" collapsed="false">
      <c r="A7" s="4" t="s">
        <v>103</v>
      </c>
      <c r="B7" s="20" t="n">
        <f aca="false">INDEX(Assumptions!$B$50:$D$50,$B$3)</f>
        <v>1</v>
      </c>
    </row>
    <row r="8" customFormat="false" ht="15" hidden="false" customHeight="false" outlineLevel="0" collapsed="false">
      <c r="A8" s="4" t="s">
        <v>104</v>
      </c>
      <c r="B8" s="20" t="n">
        <f aca="false">INDEX(Assumptions!$B$51:$D$51,$B$3)</f>
        <v>1</v>
      </c>
    </row>
    <row r="9" customFormat="false" ht="15" hidden="false" customHeight="false" outlineLevel="0" collapsed="false">
      <c r="A9" s="4" t="s">
        <v>105</v>
      </c>
      <c r="B9" s="20" t="n">
        <f aca="false">INDEX(Assumptions!$B$52:$D$52,$B$3)</f>
        <v>1</v>
      </c>
    </row>
    <row r="10" customFormat="false" ht="15" hidden="false" customHeight="false" outlineLevel="0" collapsed="false">
      <c r="A10" s="4" t="s">
        <v>106</v>
      </c>
      <c r="B10" s="20" t="n">
        <f aca="false">INDEX(Assumptions!$B$53:$D$53,$B$3)</f>
        <v>1</v>
      </c>
    </row>
    <row r="11" customFormat="false" ht="15" hidden="false" customHeight="false" outlineLevel="0" collapsed="false">
      <c r="A11" s="4" t="s">
        <v>107</v>
      </c>
      <c r="B11" s="20" t="n">
        <f aca="false">INDEX(Assumptions!$B$54:$D$54,$B$3)</f>
        <v>1</v>
      </c>
    </row>
    <row r="12" customFormat="false" ht="15" hidden="false" customHeight="false" outlineLevel="0" collapsed="false">
      <c r="A12" s="4" t="s">
        <v>108</v>
      </c>
      <c r="B12" s="20" t="n">
        <f aca="false">INDEX(Assumptions!$B$55:$D$55,$B$3)</f>
        <v>1</v>
      </c>
    </row>
    <row r="14" customFormat="false" ht="15" hidden="false" customHeight="false" outlineLevel="0" collapsed="false">
      <c r="A14" s="3" t="s">
        <v>112</v>
      </c>
      <c r="B14" s="10"/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27</v>
      </c>
    </row>
    <row r="15" customFormat="false" ht="15" hidden="false" customHeight="false" outlineLevel="0" collapsed="false">
      <c r="A15" s="4" t="s">
        <v>113</v>
      </c>
      <c r="C15" s="21" t="n">
        <v>0</v>
      </c>
      <c r="D15" s="21" t="n">
        <v>1</v>
      </c>
      <c r="E15" s="21" t="n">
        <v>2</v>
      </c>
      <c r="F15" s="21" t="n">
        <v>3</v>
      </c>
      <c r="G15" s="21" t="n">
        <v>4</v>
      </c>
      <c r="H15" s="21" t="n">
        <v>5</v>
      </c>
    </row>
    <row r="16" customFormat="false" ht="15" hidden="false" customHeight="false" outlineLevel="0" collapsed="false">
      <c r="A16" s="4" t="s">
        <v>114</v>
      </c>
      <c r="C16" s="22" t="n">
        <v>1</v>
      </c>
      <c r="D16" s="22" t="n">
        <f aca="false">$B$12</f>
        <v>1</v>
      </c>
      <c r="E16" s="22" t="n">
        <v>1</v>
      </c>
      <c r="F16" s="22" t="n">
        <v>1</v>
      </c>
      <c r="G16" s="22" t="n">
        <v>1</v>
      </c>
      <c r="H16" s="22" t="n">
        <v>1</v>
      </c>
    </row>
    <row r="17" customFormat="false" ht="15" hidden="false" customHeight="false" outlineLevel="0" collapsed="false">
      <c r="A17" s="3" t="s">
        <v>115</v>
      </c>
      <c r="B17" s="10"/>
      <c r="C17" s="10"/>
      <c r="D17" s="10"/>
      <c r="E17" s="10"/>
      <c r="F17" s="10"/>
      <c r="G17" s="10"/>
      <c r="H17" s="10"/>
    </row>
    <row r="18" customFormat="false" ht="15" hidden="false" customHeight="false" outlineLevel="0" collapsed="false">
      <c r="A18" s="4" t="s">
        <v>116</v>
      </c>
      <c r="C18" s="23" t="n">
        <v>0</v>
      </c>
      <c r="D18" s="24" t="n">
        <f aca="false">Assumptions!D$33*$B$5</f>
        <v>450</v>
      </c>
      <c r="E18" s="24" t="n">
        <f aca="false">Assumptions!E$33*$B$5</f>
        <v>1200</v>
      </c>
      <c r="F18" s="24" t="n">
        <f aca="false">Assumptions!F$33*$B$5</f>
        <v>2100</v>
      </c>
      <c r="G18" s="24" t="n">
        <f aca="false">Assumptions!G$33*$B$5</f>
        <v>2900</v>
      </c>
      <c r="H18" s="24" t="n">
        <f aca="false">Assumptions!H$33*$B$5</f>
        <v>3500</v>
      </c>
    </row>
    <row r="19" customFormat="false" ht="15" hidden="false" customHeight="false" outlineLevel="0" collapsed="false">
      <c r="A19" s="4" t="s">
        <v>117</v>
      </c>
      <c r="D19" s="23" t="n">
        <f aca="false">AVERAGE(C18,D18)</f>
        <v>225</v>
      </c>
      <c r="E19" s="23" t="n">
        <f aca="false">AVERAGE(D18,E18)</f>
        <v>825</v>
      </c>
      <c r="F19" s="23" t="n">
        <f aca="false">AVERAGE(E18,F18)</f>
        <v>1650</v>
      </c>
      <c r="G19" s="23" t="n">
        <f aca="false">AVERAGE(F18,G18)</f>
        <v>2500</v>
      </c>
      <c r="H19" s="23" t="n">
        <f aca="false">AVERAGE(G18,H18)</f>
        <v>3200</v>
      </c>
    </row>
    <row r="20" customFormat="false" ht="15" hidden="false" customHeight="false" outlineLevel="0" collapsed="false">
      <c r="A20" s="4" t="s">
        <v>118</v>
      </c>
      <c r="D20" s="24" t="n">
        <f aca="false">Assumptions!D$34*$B$6</f>
        <v>420</v>
      </c>
      <c r="E20" s="24" t="n">
        <f aca="false">Assumptions!E$34*$B$6</f>
        <v>450</v>
      </c>
      <c r="F20" s="24" t="n">
        <f aca="false">Assumptions!F$34*$B$6</f>
        <v>480</v>
      </c>
      <c r="G20" s="24" t="n">
        <f aca="false">Assumptions!G$34*$B$6</f>
        <v>500</v>
      </c>
      <c r="H20" s="24" t="n">
        <f aca="false">Assumptions!H$34*$B$6</f>
        <v>520</v>
      </c>
    </row>
    <row r="21" customFormat="false" ht="15" hidden="false" customHeight="false" outlineLevel="0" collapsed="false">
      <c r="A21" s="4" t="s">
        <v>119</v>
      </c>
      <c r="C21" s="25" t="n">
        <v>0</v>
      </c>
      <c r="D21" s="25" t="n">
        <f aca="false">D19*D20*12/1000000*D$16</f>
        <v>1.134</v>
      </c>
      <c r="E21" s="25" t="n">
        <f aca="false">E19*E20*12/1000000*E$16</f>
        <v>4.455</v>
      </c>
      <c r="F21" s="25" t="n">
        <f aca="false">F19*F20*12/1000000*F$16</f>
        <v>9.504</v>
      </c>
      <c r="G21" s="25" t="n">
        <f aca="false">G19*G20*12/1000000*G$16</f>
        <v>15</v>
      </c>
      <c r="H21" s="25" t="n">
        <f aca="false">H19*H20*12/1000000*H$16</f>
        <v>19.968</v>
      </c>
    </row>
    <row r="22" customFormat="false" ht="15" hidden="false" customHeight="false" outlineLevel="0" collapsed="false">
      <c r="A22" s="4" t="s">
        <v>120</v>
      </c>
      <c r="C22" s="23" t="n">
        <v>0</v>
      </c>
      <c r="D22" s="24" t="n">
        <f aca="false">Assumptions!D$36*$B$7</f>
        <v>5000</v>
      </c>
      <c r="E22" s="24" t="n">
        <f aca="false">Assumptions!E$36*$B$7</f>
        <v>11000</v>
      </c>
      <c r="F22" s="24" t="n">
        <f aca="false">Assumptions!F$36*$B$7</f>
        <v>17000</v>
      </c>
      <c r="G22" s="24" t="n">
        <f aca="false">Assumptions!G$36*$B$7</f>
        <v>23000</v>
      </c>
      <c r="H22" s="24" t="n">
        <f aca="false">Assumptions!H$36*$B$7</f>
        <v>28000</v>
      </c>
    </row>
    <row r="23" customFormat="false" ht="15" hidden="false" customHeight="false" outlineLevel="0" collapsed="false">
      <c r="A23" s="4" t="s">
        <v>121</v>
      </c>
      <c r="C23" s="23" t="n">
        <v>0</v>
      </c>
      <c r="D23" s="24" t="n">
        <f aca="false">C23*Assumptions!$B$16+D22</f>
        <v>5000</v>
      </c>
      <c r="E23" s="24" t="n">
        <f aca="false">D23*Assumptions!$B$16+E22</f>
        <v>13250</v>
      </c>
      <c r="F23" s="24" t="n">
        <f aca="false">E23*Assumptions!$B$16+F22</f>
        <v>22962.5</v>
      </c>
      <c r="G23" s="24" t="n">
        <f aca="false">F23*Assumptions!$B$16+G22</f>
        <v>33333.125</v>
      </c>
      <c r="H23" s="24" t="n">
        <f aca="false">G23*Assumptions!$B$16+H22</f>
        <v>42999.90625</v>
      </c>
    </row>
    <row r="24" customFormat="false" ht="15" hidden="false" customHeight="false" outlineLevel="0" collapsed="false">
      <c r="A24" s="4" t="s">
        <v>122</v>
      </c>
      <c r="C24" s="23" t="n">
        <v>0</v>
      </c>
      <c r="D24" s="24" t="n">
        <f aca="false">D23*Assumptions!$B$17</f>
        <v>16000</v>
      </c>
      <c r="E24" s="24" t="n">
        <f aca="false">E23*Assumptions!$B$17</f>
        <v>42400</v>
      </c>
      <c r="F24" s="24" t="n">
        <f aca="false">F23*Assumptions!$B$17</f>
        <v>73480</v>
      </c>
      <c r="G24" s="24" t="n">
        <f aca="false">G23*Assumptions!$B$17</f>
        <v>106666</v>
      </c>
      <c r="H24" s="24" t="n">
        <f aca="false">H23*Assumptions!$B$17</f>
        <v>137599.7</v>
      </c>
    </row>
    <row r="25" customFormat="false" ht="15" hidden="false" customHeight="false" outlineLevel="0" collapsed="false">
      <c r="A25" s="4" t="s">
        <v>123</v>
      </c>
      <c r="C25" s="25" t="n">
        <v>0</v>
      </c>
      <c r="D25" s="5" t="n">
        <f aca="false">D24*Assumptions!$B$18/1000000*D$16</f>
        <v>0.8</v>
      </c>
      <c r="E25" s="5" t="n">
        <f aca="false">E24*Assumptions!$B$18/1000000*E$16</f>
        <v>2.12</v>
      </c>
      <c r="F25" s="5" t="n">
        <f aca="false">F24*Assumptions!$B$18/1000000*F$16</f>
        <v>3.674</v>
      </c>
      <c r="G25" s="5" t="n">
        <f aca="false">G24*Assumptions!$B$18/1000000*G$16</f>
        <v>5.3333</v>
      </c>
      <c r="H25" s="5" t="n">
        <f aca="false">H24*Assumptions!$B$18/1000000*H$16</f>
        <v>6.879985</v>
      </c>
    </row>
    <row r="26" customFormat="false" ht="15" hidden="false" customHeight="false" outlineLevel="0" collapsed="false">
      <c r="A26" s="4" t="s">
        <v>124</v>
      </c>
      <c r="C26" s="25" t="n">
        <v>0</v>
      </c>
      <c r="D26" s="5" t="n">
        <f aca="false">Assumptions!D$35*$B$6*D$16</f>
        <v>0.3</v>
      </c>
      <c r="E26" s="5" t="n">
        <f aca="false">Assumptions!E$35*$B$6*E$16</f>
        <v>0.9</v>
      </c>
      <c r="F26" s="5" t="n">
        <f aca="false">Assumptions!F$35*$B$6*F$16</f>
        <v>1.7</v>
      </c>
      <c r="G26" s="5" t="n">
        <f aca="false">Assumptions!G$35*$B$6*G$16</f>
        <v>2.5</v>
      </c>
      <c r="H26" s="5" t="n">
        <f aca="false">Assumptions!H$35*$B$6*H$16</f>
        <v>3.2</v>
      </c>
    </row>
    <row r="27" customFormat="false" ht="15" hidden="false" customHeight="false" outlineLevel="0" collapsed="false">
      <c r="A27" s="11" t="s">
        <v>125</v>
      </c>
      <c r="C27" s="26" t="n">
        <v>0</v>
      </c>
      <c r="D27" s="26" t="n">
        <f aca="false">D21+D25+D26</f>
        <v>2.234</v>
      </c>
      <c r="E27" s="26" t="n">
        <f aca="false">E21+E25+E26</f>
        <v>7.475</v>
      </c>
      <c r="F27" s="26" t="n">
        <f aca="false">F21+F25+F26</f>
        <v>14.878</v>
      </c>
      <c r="G27" s="26" t="n">
        <f aca="false">G21+G25+G26</f>
        <v>22.8333</v>
      </c>
      <c r="H27" s="26" t="n">
        <f aca="false">H21+H25+H26</f>
        <v>30.047985</v>
      </c>
    </row>
    <row r="28" customFormat="false" ht="15" hidden="false" customHeight="false" outlineLevel="0" collapsed="false">
      <c r="A28" s="4" t="s">
        <v>126</v>
      </c>
      <c r="E28" s="27" t="n">
        <f aca="false">IFERROR(E27/D27-1,0)</f>
        <v>2.34601611459266</v>
      </c>
      <c r="F28" s="27" t="n">
        <f aca="false">IFERROR(F27/E27-1,0)</f>
        <v>0.990367892976588</v>
      </c>
      <c r="G28" s="27" t="n">
        <f aca="false">IFERROR(G27/F27-1,0)</f>
        <v>0.534702244925394</v>
      </c>
      <c r="H28" s="27" t="n">
        <f aca="false">IFERROR(H27/G27-1,0)</f>
        <v>0.315972067112507</v>
      </c>
    </row>
    <row r="29" customFormat="false" ht="15" hidden="false" customHeight="false" outlineLevel="0" collapsed="false">
      <c r="A29" s="4" t="s">
        <v>127</v>
      </c>
      <c r="D29" s="6" t="n">
        <f aca="false">IFERROR(D27/Assumptions!D$43,0)</f>
        <v>0.00458811811215957</v>
      </c>
      <c r="E29" s="6" t="n">
        <f aca="false">IFERROR(E27/Assumptions!E$43,0)</f>
        <v>0.0144149456703665</v>
      </c>
      <c r="F29" s="6" t="n">
        <f aca="false">IFERROR(F27/Assumptions!F$43,0)</f>
        <v>0.0269399483955863</v>
      </c>
      <c r="G29" s="6" t="n">
        <f aca="false">IFERROR(G27/Assumptions!G$43,0)</f>
        <v>0.0388214077754747</v>
      </c>
      <c r="H29" s="6" t="n">
        <f aca="false">IFERROR(H27/Assumptions!H$43,0)</f>
        <v>0.047969848111276</v>
      </c>
    </row>
    <row r="30" customFormat="false" ht="15" hidden="false" customHeight="false" outlineLevel="0" collapsed="false">
      <c r="A30" s="3" t="s">
        <v>29</v>
      </c>
      <c r="B30" s="10"/>
      <c r="C30" s="10"/>
      <c r="D30" s="10"/>
      <c r="E30" s="10"/>
      <c r="F30" s="10"/>
      <c r="G30" s="10"/>
      <c r="H30" s="10"/>
    </row>
    <row r="31" customFormat="false" ht="15" hidden="false" customHeight="false" outlineLevel="0" collapsed="false">
      <c r="A31" s="4" t="s">
        <v>128</v>
      </c>
      <c r="C31" s="25" t="n">
        <v>0</v>
      </c>
      <c r="D31" s="5" t="n">
        <f aca="false">D21*Assumptions!$B$22*$B$9</f>
        <v>0.70308</v>
      </c>
      <c r="E31" s="5" t="n">
        <f aca="false">E21*Assumptions!$B$22*$B$9</f>
        <v>2.7621</v>
      </c>
      <c r="F31" s="5" t="n">
        <f aca="false">F21*Assumptions!$B$22*$B$9</f>
        <v>5.89248</v>
      </c>
      <c r="G31" s="5" t="n">
        <f aca="false">G21*Assumptions!$B$22*$B$9</f>
        <v>9.3</v>
      </c>
      <c r="H31" s="5" t="n">
        <f aca="false">H21*Assumptions!$B$22*$B$9</f>
        <v>12.38016</v>
      </c>
    </row>
    <row r="32" customFormat="false" ht="15" hidden="false" customHeight="false" outlineLevel="0" collapsed="false">
      <c r="A32" s="4" t="s">
        <v>129</v>
      </c>
      <c r="C32" s="25" t="n">
        <v>0</v>
      </c>
      <c r="D32" s="5" t="n">
        <f aca="false">D25*Assumptions!$B$23*$B$9</f>
        <v>0.36</v>
      </c>
      <c r="E32" s="5" t="n">
        <f aca="false">E25*Assumptions!$B$23*$B$9</f>
        <v>0.954</v>
      </c>
      <c r="F32" s="5" t="n">
        <f aca="false">F25*Assumptions!$B$23*$B$9</f>
        <v>1.6533</v>
      </c>
      <c r="G32" s="5" t="n">
        <f aca="false">G25*Assumptions!$B$23*$B$9</f>
        <v>2.399985</v>
      </c>
      <c r="H32" s="5" t="n">
        <f aca="false">H25*Assumptions!$B$23*$B$9</f>
        <v>3.09599325</v>
      </c>
    </row>
    <row r="33" customFormat="false" ht="15" hidden="false" customHeight="false" outlineLevel="0" collapsed="false">
      <c r="A33" s="4" t="s">
        <v>130</v>
      </c>
      <c r="C33" s="25" t="n">
        <v>0</v>
      </c>
      <c r="D33" s="5" t="n">
        <f aca="false">D26*Assumptions!$B$24*$B$9</f>
        <v>0.21</v>
      </c>
      <c r="E33" s="5" t="n">
        <f aca="false">E26*Assumptions!$B$24*$B$9</f>
        <v>0.63</v>
      </c>
      <c r="F33" s="5" t="n">
        <f aca="false">F26*Assumptions!$B$24*$B$9</f>
        <v>1.19</v>
      </c>
      <c r="G33" s="5" t="n">
        <f aca="false">G26*Assumptions!$B$24*$B$9</f>
        <v>1.75</v>
      </c>
      <c r="H33" s="5" t="n">
        <f aca="false">H26*Assumptions!$B$24*$B$9</f>
        <v>2.24</v>
      </c>
    </row>
    <row r="34" customFormat="false" ht="15" hidden="false" customHeight="false" outlineLevel="0" collapsed="false">
      <c r="A34" s="11" t="s">
        <v>29</v>
      </c>
      <c r="C34" s="26" t="n">
        <v>0</v>
      </c>
      <c r="D34" s="26" t="n">
        <f aca="false">D27-D31-D32-D33</f>
        <v>0.96092</v>
      </c>
      <c r="E34" s="26" t="n">
        <f aca="false">E27-E31-E32-E33</f>
        <v>3.1289</v>
      </c>
      <c r="F34" s="26" t="n">
        <f aca="false">F27-F31-F32-F33</f>
        <v>6.14222</v>
      </c>
      <c r="G34" s="26" t="n">
        <f aca="false">G27-G31-G32-G33</f>
        <v>9.383315</v>
      </c>
      <c r="H34" s="26" t="n">
        <f aca="false">H27-H31-H32-H33</f>
        <v>12.33183175</v>
      </c>
    </row>
    <row r="35" customFormat="false" ht="15" hidden="false" customHeight="false" outlineLevel="0" collapsed="false">
      <c r="A35" s="4" t="s">
        <v>131</v>
      </c>
      <c r="D35" s="27" t="n">
        <f aca="false">IFERROR(D34/D27,0)</f>
        <v>0.430134288272158</v>
      </c>
      <c r="E35" s="27" t="n">
        <f aca="false">IFERROR(E34/E27,0)</f>
        <v>0.418581939799331</v>
      </c>
      <c r="F35" s="27" t="n">
        <f aca="false">IFERROR(F34/F27,0)</f>
        <v>0.412839091275709</v>
      </c>
      <c r="G35" s="27" t="n">
        <f aca="false">IFERROR(G34/G27,0)</f>
        <v>0.410948702114894</v>
      </c>
      <c r="H35" s="27" t="n">
        <f aca="false">IFERROR(H34/H27,0)</f>
        <v>0.410404616149802</v>
      </c>
    </row>
    <row r="36" customFormat="false" ht="15" hidden="false" customHeight="false" outlineLevel="0" collapsed="false">
      <c r="A36" s="3" t="s">
        <v>132</v>
      </c>
      <c r="B36" s="10"/>
      <c r="C36" s="10"/>
      <c r="D36" s="10"/>
      <c r="E36" s="10"/>
      <c r="F36" s="10"/>
      <c r="G36" s="10"/>
      <c r="H36" s="10"/>
    </row>
    <row r="37" customFormat="false" ht="15" hidden="false" customHeight="false" outlineLevel="0" collapsed="false">
      <c r="A37" s="4" t="s">
        <v>106</v>
      </c>
      <c r="C37" s="25" t="n">
        <v>0</v>
      </c>
      <c r="D37" s="5" t="n">
        <f aca="false">(D21+D26)*Assumptions!D$38*$B$10</f>
        <v>0.20076</v>
      </c>
      <c r="E37" s="5" t="n">
        <f aca="false">(E21+E26)*Assumptions!E$38*$B$10</f>
        <v>0.6426</v>
      </c>
      <c r="F37" s="5" t="n">
        <f aca="false">(F21+F26)*Assumptions!F$38*$B$10</f>
        <v>1.00836</v>
      </c>
      <c r="G37" s="5" t="n">
        <f aca="false">(G21+G26)*Assumptions!G$38*$B$10</f>
        <v>1.3125</v>
      </c>
      <c r="H37" s="5" t="n">
        <f aca="false">(H21+H26)*Assumptions!H$38*$B$10</f>
        <v>1.39008</v>
      </c>
    </row>
    <row r="38" customFormat="false" ht="15" hidden="false" customHeight="false" outlineLevel="0" collapsed="false">
      <c r="A38" s="4" t="s">
        <v>133</v>
      </c>
      <c r="C38" s="25" t="n">
        <v>0</v>
      </c>
      <c r="D38" s="5" t="n">
        <f aca="false">(D21+D26)*Assumptions!D$39</f>
        <v>0.06453</v>
      </c>
      <c r="E38" s="5" t="n">
        <f aca="false">(E21+E26)*Assumptions!E$39</f>
        <v>0.2142</v>
      </c>
      <c r="F38" s="5" t="n">
        <f aca="false">(F21+F26)*Assumptions!F$39</f>
        <v>0.414548</v>
      </c>
      <c r="G38" s="5" t="n">
        <f aca="false">(G21+G26)*Assumptions!G$39</f>
        <v>0.6125</v>
      </c>
      <c r="H38" s="5" t="n">
        <f aca="false">(H21+H26)*Assumptions!H$39</f>
        <v>0.81088</v>
      </c>
    </row>
    <row r="39" customFormat="false" ht="15" hidden="false" customHeight="false" outlineLevel="0" collapsed="false">
      <c r="A39" s="4" t="s">
        <v>134</v>
      </c>
      <c r="C39" s="25" t="n">
        <v>0</v>
      </c>
      <c r="D39" s="5" t="n">
        <f aca="false">D25*Assumptions!$B$19</f>
        <v>0.144</v>
      </c>
      <c r="E39" s="5" t="n">
        <f aca="false">E25*Assumptions!$B$19</f>
        <v>0.3816</v>
      </c>
      <c r="F39" s="5" t="n">
        <f aca="false">F25*Assumptions!$B$19</f>
        <v>0.66132</v>
      </c>
      <c r="G39" s="5" t="n">
        <f aca="false">G25*Assumptions!$B$19</f>
        <v>0.959994</v>
      </c>
      <c r="H39" s="5" t="n">
        <f aca="false">H25*Assumptions!$B$19</f>
        <v>1.2383973</v>
      </c>
    </row>
    <row r="40" customFormat="false" ht="15" hidden="false" customHeight="false" outlineLevel="0" collapsed="false">
      <c r="A40" s="4" t="s">
        <v>135</v>
      </c>
      <c r="C40" s="25" t="n">
        <v>0</v>
      </c>
      <c r="D40" s="5" t="n">
        <f aca="false">D22*Assumptions!D$37*$B$8/1000000</f>
        <v>0.16</v>
      </c>
      <c r="E40" s="5" t="n">
        <f aca="false">E22*Assumptions!E$37*$B$8/1000000</f>
        <v>0.33</v>
      </c>
      <c r="F40" s="5" t="n">
        <f aca="false">F22*Assumptions!F$37*$B$8/1000000</f>
        <v>0.476</v>
      </c>
      <c r="G40" s="5" t="n">
        <f aca="false">G22*Assumptions!G$37*$B$8/1000000</f>
        <v>0.598</v>
      </c>
      <c r="H40" s="5" t="n">
        <f aca="false">H22*Assumptions!H$37*$B$8/1000000</f>
        <v>0.7</v>
      </c>
    </row>
    <row r="41" customFormat="false" ht="15" hidden="false" customHeight="false" outlineLevel="0" collapsed="false">
      <c r="A41" s="4" t="s">
        <v>136</v>
      </c>
      <c r="C41" s="25" t="n">
        <v>0</v>
      </c>
      <c r="D41" s="5" t="n">
        <f aca="false">Assumptions!D$40*$B$11</f>
        <v>1.5</v>
      </c>
      <c r="E41" s="5" t="n">
        <f aca="false">Assumptions!E$40*$B$11</f>
        <v>2</v>
      </c>
      <c r="F41" s="5" t="n">
        <f aca="false">Assumptions!F$40*$B$11</f>
        <v>2.5</v>
      </c>
      <c r="G41" s="5" t="n">
        <f aca="false">Assumptions!G$40*$B$11</f>
        <v>2.8</v>
      </c>
      <c r="H41" s="5" t="n">
        <f aca="false">Assumptions!H$40*$B$11</f>
        <v>3</v>
      </c>
    </row>
    <row r="42" customFormat="false" ht="15" hidden="false" customHeight="false" outlineLevel="0" collapsed="false">
      <c r="A42" s="4" t="s">
        <v>137</v>
      </c>
      <c r="C42" s="25" t="n">
        <v>0</v>
      </c>
      <c r="D42" s="5" t="n">
        <f aca="false">Assumptions!D$41*$B$11</f>
        <v>0.5</v>
      </c>
      <c r="E42" s="5" t="n">
        <f aca="false">Assumptions!E$41*$B$11</f>
        <v>0.6</v>
      </c>
      <c r="F42" s="5" t="n">
        <f aca="false">Assumptions!F$41*$B$11</f>
        <v>0.65</v>
      </c>
      <c r="G42" s="5" t="n">
        <f aca="false">Assumptions!G$41*$B$11</f>
        <v>0.7</v>
      </c>
      <c r="H42" s="5" t="n">
        <f aca="false">Assumptions!H$41*$B$11</f>
        <v>0.75</v>
      </c>
    </row>
    <row r="43" customFormat="false" ht="15" hidden="false" customHeight="false" outlineLevel="0" collapsed="false">
      <c r="A43" s="4" t="s">
        <v>138</v>
      </c>
      <c r="C43" s="5" t="n">
        <f aca="false">Assumptions!$B$13</f>
        <v>1.2</v>
      </c>
      <c r="D43" s="25" t="n">
        <v>0</v>
      </c>
      <c r="E43" s="25" t="n">
        <v>0</v>
      </c>
      <c r="F43" s="25" t="n">
        <v>0</v>
      </c>
      <c r="G43" s="25" t="n">
        <v>0</v>
      </c>
      <c r="H43" s="25" t="n">
        <v>0</v>
      </c>
    </row>
    <row r="44" customFormat="false" ht="15" hidden="false" customHeight="false" outlineLevel="0" collapsed="false">
      <c r="A44" s="11" t="s">
        <v>139</v>
      </c>
      <c r="C44" s="26" t="n">
        <f aca="false">SUM(C37:C43)</f>
        <v>1.2</v>
      </c>
      <c r="D44" s="26" t="n">
        <f aca="false">SUM(D37:D43)</f>
        <v>2.56929</v>
      </c>
      <c r="E44" s="26" t="n">
        <f aca="false">SUM(E37:E43)</f>
        <v>4.1684</v>
      </c>
      <c r="F44" s="26" t="n">
        <f aca="false">SUM(F37:F43)</f>
        <v>5.710228</v>
      </c>
      <c r="G44" s="26" t="n">
        <f aca="false">SUM(G37:G43)</f>
        <v>6.982994</v>
      </c>
      <c r="H44" s="26" t="n">
        <f aca="false">SUM(H37:H43)</f>
        <v>7.8893573</v>
      </c>
    </row>
    <row r="45" customFormat="false" ht="15" hidden="false" customHeight="false" outlineLevel="0" collapsed="false">
      <c r="A45" s="11" t="s">
        <v>30</v>
      </c>
      <c r="C45" s="26" t="n">
        <f aca="false">C34-C44</f>
        <v>-1.2</v>
      </c>
      <c r="D45" s="26" t="n">
        <f aca="false">D34-D44</f>
        <v>-1.60837</v>
      </c>
      <c r="E45" s="26" t="n">
        <f aca="false">E34-E44</f>
        <v>-1.0395</v>
      </c>
      <c r="F45" s="26" t="n">
        <f aca="false">F34-F44</f>
        <v>0.431991999999998</v>
      </c>
      <c r="G45" s="26" t="n">
        <f aca="false">G34-G44</f>
        <v>2.400321</v>
      </c>
      <c r="H45" s="26" t="n">
        <f aca="false">H34-H44</f>
        <v>4.44247445</v>
      </c>
    </row>
    <row r="46" customFormat="false" ht="15" hidden="false" customHeight="false" outlineLevel="0" collapsed="false">
      <c r="A46" s="4" t="s">
        <v>140</v>
      </c>
      <c r="D46" s="27" t="n">
        <f aca="false">IFERROR(D45/D27,0)</f>
        <v>-0.719950760966876</v>
      </c>
      <c r="E46" s="27" t="n">
        <f aca="false">IFERROR(E45/E27,0)</f>
        <v>-0.139063545150502</v>
      </c>
      <c r="F46" s="27" t="n">
        <f aca="false">IFERROR(F45/F27,0)</f>
        <v>0.0290356230676165</v>
      </c>
      <c r="G46" s="27" t="n">
        <f aca="false">IFERROR(G45/G27,0)</f>
        <v>0.105123700910512</v>
      </c>
      <c r="H46" s="27" t="n">
        <f aca="false">IFERROR(H45/H27,0)</f>
        <v>0.147846001986489</v>
      </c>
    </row>
    <row r="47" customFormat="false" ht="15" hidden="false" customHeight="false" outlineLevel="0" collapsed="false">
      <c r="A47" s="4" t="s">
        <v>141</v>
      </c>
      <c r="C47" s="5" t="n">
        <f aca="false">Assumptions!C$42</f>
        <v>0.8</v>
      </c>
      <c r="D47" s="5" t="n">
        <f aca="false">Assumptions!D$42</f>
        <v>0.5</v>
      </c>
      <c r="E47" s="5" t="n">
        <f aca="false">Assumptions!E$42</f>
        <v>0.8</v>
      </c>
      <c r="F47" s="5" t="n">
        <f aca="false">Assumptions!F$42</f>
        <v>0.6</v>
      </c>
      <c r="G47" s="5" t="n">
        <f aca="false">Assumptions!G$42</f>
        <v>0.5</v>
      </c>
      <c r="H47" s="5" t="n">
        <f aca="false">Assumptions!H$42</f>
        <v>0.4</v>
      </c>
    </row>
    <row r="48" customFormat="false" ht="15" hidden="false" customHeight="false" outlineLevel="0" collapsed="false">
      <c r="A48" s="4" t="s">
        <v>142</v>
      </c>
      <c r="C48" s="25" t="n">
        <v>0</v>
      </c>
      <c r="D48" s="5" t="n">
        <f aca="false">SUM($C47:C47)/Assumptions!$B$12</f>
        <v>0.16</v>
      </c>
      <c r="E48" s="5" t="n">
        <f aca="false">SUM($C47:D47)/Assumptions!$B$12</f>
        <v>0.26</v>
      </c>
      <c r="F48" s="5" t="n">
        <f aca="false">SUM($C47:E47)/Assumptions!$B$12</f>
        <v>0.42</v>
      </c>
      <c r="G48" s="5" t="n">
        <f aca="false">SUM($C47:F47)/Assumptions!$B$12</f>
        <v>0.54</v>
      </c>
      <c r="H48" s="5" t="n">
        <f aca="false">SUM($C47:G47)/Assumptions!$B$12</f>
        <v>0.64</v>
      </c>
    </row>
    <row r="49" customFormat="false" ht="15" hidden="false" customHeight="false" outlineLevel="0" collapsed="false">
      <c r="A49" s="11" t="s">
        <v>31</v>
      </c>
      <c r="C49" s="26" t="n">
        <f aca="false">C45-C48</f>
        <v>-1.2</v>
      </c>
      <c r="D49" s="26" t="n">
        <f aca="false">D45-D48</f>
        <v>-1.76837</v>
      </c>
      <c r="E49" s="26" t="n">
        <f aca="false">E45-E48</f>
        <v>-1.2995</v>
      </c>
      <c r="F49" s="26" t="n">
        <f aca="false">F45-F48</f>
        <v>0.0119919999999983</v>
      </c>
      <c r="G49" s="26" t="n">
        <f aca="false">G45-G48</f>
        <v>1.860321</v>
      </c>
      <c r="H49" s="26" t="n">
        <f aca="false">H45-H48</f>
        <v>3.80247445</v>
      </c>
    </row>
    <row r="50" customFormat="false" ht="15" hidden="false" customHeight="false" outlineLevel="0" collapsed="false">
      <c r="A50" s="4" t="s">
        <v>143</v>
      </c>
      <c r="D50" s="27" t="n">
        <f aca="false">IFERROR(D49/D27,0)</f>
        <v>-0.791571172784244</v>
      </c>
      <c r="E50" s="27" t="n">
        <f aca="false">IFERROR(E49/E27,0)</f>
        <v>-0.173846153846154</v>
      </c>
      <c r="F50" s="27" t="n">
        <f aca="false">IFERROR(F49/F27,0)</f>
        <v>0.00080602231482715</v>
      </c>
      <c r="G50" s="27" t="n">
        <f aca="false">IFERROR(G49/G27,0)</f>
        <v>0.0814740313489509</v>
      </c>
      <c r="H50" s="27" t="n">
        <f aca="false">IFERROR(H49/H27,0)</f>
        <v>0.126546736827777</v>
      </c>
    </row>
    <row r="51" customFormat="false" ht="15" hidden="false" customHeight="false" outlineLevel="0" collapsed="false">
      <c r="A51" s="3" t="s">
        <v>144</v>
      </c>
      <c r="B51" s="10"/>
      <c r="C51" s="10"/>
      <c r="D51" s="10"/>
      <c r="E51" s="10"/>
      <c r="F51" s="10"/>
      <c r="G51" s="10"/>
      <c r="H51" s="10"/>
    </row>
    <row r="52" customFormat="false" ht="15" hidden="false" customHeight="false" outlineLevel="0" collapsed="false">
      <c r="A52" s="4" t="s">
        <v>145</v>
      </c>
      <c r="C52" s="25" t="n">
        <v>0</v>
      </c>
      <c r="D52" s="25" t="n">
        <f aca="false">C55</f>
        <v>1.2</v>
      </c>
      <c r="E52" s="25" t="n">
        <f aca="false">D55</f>
        <v>2.96837</v>
      </c>
      <c r="F52" s="25" t="n">
        <f aca="false">E55</f>
        <v>4.26787</v>
      </c>
      <c r="G52" s="25" t="n">
        <f aca="false">F55</f>
        <v>4.255878</v>
      </c>
      <c r="H52" s="25" t="n">
        <f aca="false">G55</f>
        <v>2.395557</v>
      </c>
    </row>
    <row r="53" customFormat="false" ht="15" hidden="false" customHeight="false" outlineLevel="0" collapsed="false">
      <c r="A53" s="4" t="s">
        <v>146</v>
      </c>
      <c r="C53" s="25" t="n">
        <f aca="false">MAX(-C49,0)</f>
        <v>1.2</v>
      </c>
      <c r="D53" s="25" t="n">
        <f aca="false">MAX(-D49,0)</f>
        <v>1.76837</v>
      </c>
      <c r="E53" s="25" t="n">
        <f aca="false">MAX(-E49,0)</f>
        <v>1.2995</v>
      </c>
      <c r="F53" s="25" t="n">
        <f aca="false">MAX(-F49,0)</f>
        <v>0</v>
      </c>
      <c r="G53" s="25" t="n">
        <f aca="false">MAX(-G49,0)</f>
        <v>0</v>
      </c>
      <c r="H53" s="25" t="n">
        <f aca="false">MAX(-H49,0)</f>
        <v>0</v>
      </c>
    </row>
    <row r="54" customFormat="false" ht="15" hidden="false" customHeight="false" outlineLevel="0" collapsed="false">
      <c r="A54" s="4" t="s">
        <v>147</v>
      </c>
      <c r="C54" s="25" t="n">
        <v>0</v>
      </c>
      <c r="D54" s="25" t="n">
        <f aca="false">MIN(D52,MAX(D49,0))</f>
        <v>0</v>
      </c>
      <c r="E54" s="25" t="n">
        <f aca="false">MIN(E52,MAX(E49,0))</f>
        <v>0</v>
      </c>
      <c r="F54" s="25" t="n">
        <f aca="false">MIN(F52,MAX(F49,0))</f>
        <v>0.0119919999999983</v>
      </c>
      <c r="G54" s="25" t="n">
        <f aca="false">MIN(G52,MAX(G49,0))</f>
        <v>1.860321</v>
      </c>
      <c r="H54" s="25" t="n">
        <f aca="false">MIN(H52,MAX(H49,0))</f>
        <v>2.395557</v>
      </c>
    </row>
    <row r="55" customFormat="false" ht="15" hidden="false" customHeight="false" outlineLevel="0" collapsed="false">
      <c r="A55" s="4" t="s">
        <v>148</v>
      </c>
      <c r="C55" s="25" t="n">
        <f aca="false">C52+C53-C54</f>
        <v>1.2</v>
      </c>
      <c r="D55" s="25" t="n">
        <f aca="false">D52+D53-D54</f>
        <v>2.96837</v>
      </c>
      <c r="E55" s="25" t="n">
        <f aca="false">E52+E53-E54</f>
        <v>4.26787</v>
      </c>
      <c r="F55" s="25" t="n">
        <f aca="false">F52+F53-F54</f>
        <v>4.255878</v>
      </c>
      <c r="G55" s="25" t="n">
        <f aca="false">G52+G53-G54</f>
        <v>2.395557</v>
      </c>
      <c r="H55" s="25" t="n">
        <f aca="false">H52+H53-H54</f>
        <v>0</v>
      </c>
    </row>
    <row r="56" customFormat="false" ht="15" hidden="false" customHeight="false" outlineLevel="0" collapsed="false">
      <c r="A56" s="4" t="s">
        <v>149</v>
      </c>
      <c r="C56" s="25" t="n">
        <v>0</v>
      </c>
      <c r="D56" s="5" t="n">
        <f aca="false">(MAX(D49,0)-D54)*Assumptions!$B$9</f>
        <v>0</v>
      </c>
      <c r="E56" s="5" t="n">
        <f aca="false">(MAX(E49,0)-E54)*Assumptions!$B$9</f>
        <v>0</v>
      </c>
      <c r="F56" s="5" t="n">
        <f aca="false">(MAX(F49,0)-F54)*Assumptions!$B$9</f>
        <v>0</v>
      </c>
      <c r="G56" s="5" t="n">
        <f aca="false">(MAX(G49,0)-G54)*Assumptions!$B$9</f>
        <v>0</v>
      </c>
      <c r="H56" s="5" t="n">
        <f aca="false">(MAX(H49,0)-H54)*Assumptions!$B$9</f>
        <v>0.337660187999999</v>
      </c>
    </row>
    <row r="57" customFormat="false" ht="15" hidden="false" customHeight="false" outlineLevel="0" collapsed="false">
      <c r="A57" s="3" t="s">
        <v>150</v>
      </c>
      <c r="B57" s="10"/>
      <c r="C57" s="10"/>
      <c r="D57" s="10"/>
      <c r="E57" s="10"/>
      <c r="F57" s="10"/>
      <c r="G57" s="10"/>
      <c r="H57" s="10"/>
    </row>
    <row r="58" customFormat="false" ht="15" hidden="false" customHeight="false" outlineLevel="0" collapsed="false">
      <c r="A58" s="4" t="s">
        <v>151</v>
      </c>
      <c r="C58" s="25" t="n">
        <v>0</v>
      </c>
      <c r="D58" s="5" t="n">
        <f aca="false">D27*Assumptions!$B$10</f>
        <v>0.3351</v>
      </c>
      <c r="E58" s="5" t="n">
        <f aca="false">E27*Assumptions!$B$10</f>
        <v>1.12125</v>
      </c>
      <c r="F58" s="5" t="n">
        <f aca="false">F27*Assumptions!$B$10</f>
        <v>2.2317</v>
      </c>
      <c r="G58" s="5" t="n">
        <f aca="false">G27*Assumptions!$B$10</f>
        <v>3.424995</v>
      </c>
      <c r="H58" s="5" t="n">
        <f aca="false">H27*Assumptions!$B$10</f>
        <v>4.50719775</v>
      </c>
    </row>
    <row r="59" customFormat="false" ht="15" hidden="false" customHeight="false" outlineLevel="0" collapsed="false">
      <c r="A59" s="4" t="s">
        <v>152</v>
      </c>
      <c r="C59" s="25" t="n">
        <v>0</v>
      </c>
      <c r="D59" s="25" t="n">
        <f aca="false">D58-C58</f>
        <v>0.3351</v>
      </c>
      <c r="E59" s="25" t="n">
        <f aca="false">E58-D58</f>
        <v>0.78615</v>
      </c>
      <c r="F59" s="25" t="n">
        <f aca="false">F58-E58</f>
        <v>1.11045</v>
      </c>
      <c r="G59" s="25" t="n">
        <f aca="false">G58-F58</f>
        <v>1.193295</v>
      </c>
      <c r="H59" s="25" t="n">
        <f aca="false">H58-G58</f>
        <v>1.08220275</v>
      </c>
    </row>
    <row r="60" customFormat="false" ht="15" hidden="false" customHeight="false" outlineLevel="0" collapsed="false">
      <c r="A60" s="11" t="s">
        <v>32</v>
      </c>
      <c r="C60" s="26" t="n">
        <f aca="false">C45-C56-C47-C59</f>
        <v>-2</v>
      </c>
      <c r="D60" s="26" t="n">
        <f aca="false">D45-D56-D47-D59</f>
        <v>-2.44347</v>
      </c>
      <c r="E60" s="26" t="n">
        <f aca="false">E45-E56-E47-E59</f>
        <v>-2.62565</v>
      </c>
      <c r="F60" s="26" t="n">
        <f aca="false">F45-F56-F47-F59</f>
        <v>-1.278458</v>
      </c>
      <c r="G60" s="26" t="n">
        <f aca="false">G45-G56-G47-G59</f>
        <v>0.707026</v>
      </c>
      <c r="H60" s="26" t="n">
        <f aca="false">H45-H56-H47-H59</f>
        <v>2.622611512</v>
      </c>
    </row>
    <row r="61" customFormat="false" ht="15" hidden="false" customHeight="false" outlineLevel="0" collapsed="false">
      <c r="A61" s="4" t="s">
        <v>153</v>
      </c>
      <c r="C61" s="25" t="n">
        <f aca="false">C60</f>
        <v>-2</v>
      </c>
      <c r="D61" s="25" t="n">
        <f aca="false">C61+D60</f>
        <v>-4.44347</v>
      </c>
      <c r="E61" s="25" t="n">
        <f aca="false">D61+E60</f>
        <v>-7.06912</v>
      </c>
      <c r="F61" s="25" t="n">
        <f aca="false">E61+F60</f>
        <v>-8.347578</v>
      </c>
      <c r="G61" s="25" t="n">
        <f aca="false">F61+G60</f>
        <v>-7.640552</v>
      </c>
      <c r="H61" s="25" t="n">
        <f aca="false">G61+H60</f>
        <v>-5.017940488</v>
      </c>
    </row>
    <row r="62" customFormat="false" ht="15" hidden="false" customHeight="false" outlineLevel="0" collapsed="false">
      <c r="A62" s="4" t="s">
        <v>154</v>
      </c>
      <c r="C62" s="28" t="n">
        <f aca="false">1/(1+Assumptions!$B$7)^C15</f>
        <v>1</v>
      </c>
      <c r="D62" s="28" t="n">
        <f aca="false">1/(1+Assumptions!$B$7)^D15</f>
        <v>0.892857142857143</v>
      </c>
      <c r="E62" s="28" t="n">
        <f aca="false">1/(1+Assumptions!$B$7)^E15</f>
        <v>0.79719387755102</v>
      </c>
      <c r="F62" s="28" t="n">
        <f aca="false">1/(1+Assumptions!$B$7)^F15</f>
        <v>0.711780247813411</v>
      </c>
      <c r="G62" s="28" t="n">
        <f aca="false">1/(1+Assumptions!$B$7)^G15</f>
        <v>0.635518078404831</v>
      </c>
      <c r="H62" s="28" t="n">
        <f aca="false">1/(1+Assumptions!$B$7)^H15</f>
        <v>0.567426855718599</v>
      </c>
    </row>
    <row r="63" customFormat="false" ht="15" hidden="false" customHeight="false" outlineLevel="0" collapsed="false">
      <c r="A63" s="4" t="s">
        <v>155</v>
      </c>
      <c r="C63" s="25" t="n">
        <f aca="false">C60*C62</f>
        <v>-2</v>
      </c>
      <c r="D63" s="25" t="n">
        <f aca="false">D60*D62</f>
        <v>-2.18166964285714</v>
      </c>
      <c r="E63" s="25" t="n">
        <f aca="false">E60*E62</f>
        <v>-2.09315210459184</v>
      </c>
      <c r="F63" s="25" t="n">
        <f aca="false">F60*F62</f>
        <v>-0.909981152059038</v>
      </c>
      <c r="G63" s="25" t="n">
        <f aca="false">G60*G62</f>
        <v>0.449327804902254</v>
      </c>
      <c r="H63" s="25" t="n">
        <f aca="false">H60*H62</f>
        <v>1.48814020402556</v>
      </c>
    </row>
    <row r="64" customFormat="false" ht="15" hidden="false" customHeight="false" outlineLevel="0" collapsed="false">
      <c r="A64" s="4" t="s">
        <v>156</v>
      </c>
      <c r="H64" s="5" t="n">
        <f aca="false">MAX(H60,0)*(1+Assumptions!$B$8)/(Assumptions!$B$7-Assumptions!$B$8)</f>
        <v>30.0143317484444</v>
      </c>
    </row>
    <row r="65" customFormat="false" ht="15" hidden="false" customHeight="false" outlineLevel="0" collapsed="false">
      <c r="A65" s="4" t="s">
        <v>157</v>
      </c>
      <c r="C65" s="25" t="n">
        <f aca="false">C60</f>
        <v>-2</v>
      </c>
      <c r="D65" s="25" t="n">
        <f aca="false">D60</f>
        <v>-2.44347</v>
      </c>
      <c r="E65" s="25" t="n">
        <f aca="false">E60</f>
        <v>-2.62565</v>
      </c>
      <c r="F65" s="25" t="n">
        <f aca="false">F60</f>
        <v>-1.278458</v>
      </c>
      <c r="G65" s="25" t="n">
        <f aca="false">G60</f>
        <v>0.707026</v>
      </c>
      <c r="H65" s="25" t="n">
        <f aca="false">H60+H64</f>
        <v>32.6369432604445</v>
      </c>
    </row>
    <row r="66" customFormat="false" ht="15" hidden="false" customHeight="false" outlineLevel="0" collapsed="false">
      <c r="A66" s="4" t="s">
        <v>158</v>
      </c>
      <c r="H66" s="5" t="n">
        <f aca="false">MAX(H45,0)*Assumptions!$B$11</f>
        <v>22.21237225</v>
      </c>
    </row>
    <row r="67" customFormat="false" ht="15" hidden="false" customHeight="false" outlineLevel="0" collapsed="false">
      <c r="A67" s="4" t="s">
        <v>159</v>
      </c>
      <c r="C67" s="25" t="n">
        <f aca="false">C60</f>
        <v>-2</v>
      </c>
      <c r="D67" s="25" t="n">
        <f aca="false">D60</f>
        <v>-2.44347</v>
      </c>
      <c r="E67" s="25" t="n">
        <f aca="false">E60</f>
        <v>-2.62565</v>
      </c>
      <c r="F67" s="25" t="n">
        <f aca="false">F60</f>
        <v>-1.278458</v>
      </c>
      <c r="G67" s="25" t="n">
        <f aca="false">G60</f>
        <v>0.707026</v>
      </c>
      <c r="H67" s="25" t="n">
        <f aca="false">H60+H66</f>
        <v>24.834983762</v>
      </c>
    </row>
    <row r="68" customFormat="false" ht="15" hidden="false" customHeight="false" outlineLevel="0" collapsed="false">
      <c r="A68" s="4" t="s">
        <v>160</v>
      </c>
      <c r="C68" s="21" t="n">
        <v>0</v>
      </c>
      <c r="D68" s="21" t="n">
        <f aca="false">IF(AND(D61&gt;=0,C61&lt;0),D$15,0)</f>
        <v>0</v>
      </c>
      <c r="E68" s="21" t="n">
        <f aca="false">IF(AND(E61&gt;=0,D61&lt;0),E$15,0)</f>
        <v>0</v>
      </c>
      <c r="F68" s="21" t="n">
        <f aca="false">IF(AND(F61&gt;=0,E61&lt;0),F$15,0)</f>
        <v>0</v>
      </c>
      <c r="G68" s="21" t="n">
        <f aca="false">IF(AND(G61&gt;=0,F61&lt;0),G$15,0)</f>
        <v>0</v>
      </c>
      <c r="H68" s="21" t="n">
        <f aca="false">IF(AND(H61&gt;=0,G61&lt;0),H$15,0)</f>
        <v>0</v>
      </c>
    </row>
    <row r="69" customFormat="false" ht="15" hidden="false" customHeight="false" outlineLevel="0" collapsed="false">
      <c r="A69" s="4" t="s">
        <v>161</v>
      </c>
      <c r="C69" s="21" t="n">
        <v>0</v>
      </c>
      <c r="D69" s="21" t="n">
        <f aca="false">IF(AND(D49&gt;0,C49&lt;=0),D$15,0)</f>
        <v>0</v>
      </c>
      <c r="E69" s="21" t="n">
        <f aca="false">IF(AND(E49&gt;0,D49&lt;=0),E$15,0)</f>
        <v>0</v>
      </c>
      <c r="F69" s="21" t="n">
        <f aca="false">IF(AND(F49&gt;0,E49&lt;=0),F$15,0)</f>
        <v>3</v>
      </c>
      <c r="G69" s="21" t="n">
        <f aca="false">IF(AND(G49&gt;0,F49&lt;=0),G$15,0)</f>
        <v>0</v>
      </c>
      <c r="H69" s="21" t="n">
        <f aca="false">IF(AND(H49&gt;0,G49&lt;=0),H$15,0)</f>
        <v>0</v>
      </c>
    </row>
    <row r="70" customFormat="false" ht="15" hidden="false" customHeight="false" outlineLevel="0" collapsed="false">
      <c r="A70" s="3" t="s">
        <v>162</v>
      </c>
      <c r="B70" s="10"/>
      <c r="C70" s="10"/>
      <c r="D70" s="10"/>
      <c r="E70" s="10"/>
      <c r="F70" s="10"/>
      <c r="G70" s="10"/>
      <c r="H70" s="10"/>
    </row>
    <row r="71" customFormat="false" ht="15" hidden="false" customHeight="false" outlineLevel="0" collapsed="false">
      <c r="A71" s="4" t="s">
        <v>163</v>
      </c>
      <c r="D71" s="25" t="n">
        <f aca="false">D34-D37-D38-D39-D40</f>
        <v>0.39163</v>
      </c>
      <c r="E71" s="25" t="n">
        <f aca="false">E34-E37-E38-E39-E40</f>
        <v>1.5605</v>
      </c>
      <c r="F71" s="25" t="n">
        <f aca="false">F34-F37-F38-F39-F40</f>
        <v>3.581992</v>
      </c>
      <c r="G71" s="25" t="n">
        <f aca="false">G34-G37-G38-G39-G40</f>
        <v>5.900321</v>
      </c>
      <c r="H71" s="25" t="n">
        <f aca="false">H34-H37-H38-H39-H40</f>
        <v>8.19247445</v>
      </c>
    </row>
    <row r="72" customFormat="false" ht="15" hidden="false" customHeight="false" outlineLevel="0" collapsed="false">
      <c r="A72" s="4" t="s">
        <v>164</v>
      </c>
      <c r="D72" s="27" t="n">
        <f aca="false">IFERROR(D71/D27,0)</f>
        <v>0.175304386750224</v>
      </c>
      <c r="E72" s="27" t="n">
        <f aca="false">IFERROR(E71/E27,0)</f>
        <v>0.20876254180602</v>
      </c>
      <c r="F72" s="27" t="n">
        <f aca="false">IFERROR(F71/F27,0)</f>
        <v>0.240757628713537</v>
      </c>
      <c r="G72" s="27" t="n">
        <f aca="false">IFERROR(G71/G27,0)</f>
        <v>0.258408596216929</v>
      </c>
      <c r="H72" s="27" t="n">
        <f aca="false">IFERROR(H71/H27,0)</f>
        <v>0.272646383775817</v>
      </c>
    </row>
    <row r="73" customFormat="false" ht="15" hidden="false" customHeight="false" outlineLevel="0" collapsed="false">
      <c r="A73" s="4" t="s">
        <v>165</v>
      </c>
      <c r="D73" s="25" t="n">
        <f aca="false">D41+D42</f>
        <v>2</v>
      </c>
      <c r="E73" s="25" t="n">
        <f aca="false">E41+E42</f>
        <v>2.6</v>
      </c>
      <c r="F73" s="25" t="n">
        <f aca="false">F41+F42</f>
        <v>3.15</v>
      </c>
      <c r="G73" s="25" t="n">
        <f aca="false">G41+G42</f>
        <v>3.5</v>
      </c>
      <c r="H73" s="25" t="n">
        <f aca="false">H41+H42</f>
        <v>3.75</v>
      </c>
    </row>
    <row r="74" customFormat="false" ht="15" hidden="false" customHeight="false" outlineLevel="0" collapsed="false">
      <c r="A74" s="4" t="s">
        <v>166</v>
      </c>
      <c r="D74" s="25" t="n">
        <f aca="false">IF(D72&gt;0,D73/D72,0)</f>
        <v>11.4087276255649</v>
      </c>
      <c r="E74" s="25" t="n">
        <f aca="false">IF(E72&gt;0,E73/E72,0)</f>
        <v>12.4543415571932</v>
      </c>
      <c r="F74" s="25" t="n">
        <f aca="false">IF(F72&gt;0,F73/F72,0)</f>
        <v>13.083697562697</v>
      </c>
      <c r="G74" s="25" t="n">
        <f aca="false">IF(G72&gt;0,G73/G72,0)</f>
        <v>13.5444410566815</v>
      </c>
      <c r="H74" s="25" t="n">
        <f aca="false">IF(H72&gt;0,H73/H72,0)</f>
        <v>13.7540793612118</v>
      </c>
    </row>
    <row r="75" customFormat="false" ht="15" hidden="false" customHeight="false" outlineLevel="0" collapsed="false">
      <c r="A75" s="4" t="s">
        <v>167</v>
      </c>
      <c r="D75" s="27" t="n">
        <f aca="false">IF(D27&gt;0,1-D74/D27,0)</f>
        <v>-4.10686106784465</v>
      </c>
      <c r="E75" s="27" t="n">
        <f aca="false">IF(E27&gt;0,1-E74/E27,0)</f>
        <v>-0.666132649791734</v>
      </c>
      <c r="F75" s="27" t="n">
        <f aca="false">IF(F27&gt;0,1-F74/F27,0)</f>
        <v>0.12060105103529</v>
      </c>
      <c r="G75" s="27" t="n">
        <f aca="false">IF(G27&gt;0,1-G74/G27,0)</f>
        <v>0.406811934469328</v>
      </c>
      <c r="H75" s="27" t="n">
        <f aca="false">IF(H27&gt;0,1-H74/H27,0)</f>
        <v>0.542262838549347</v>
      </c>
    </row>
    <row r="76" customFormat="false" ht="15" hidden="false" customHeight="false" outlineLevel="0" collapsed="false">
      <c r="A76" s="3" t="s">
        <v>60</v>
      </c>
      <c r="B76" s="10"/>
      <c r="C76" s="10"/>
      <c r="D76" s="10"/>
      <c r="E76" s="10"/>
      <c r="F76" s="10"/>
      <c r="G76" s="10"/>
      <c r="H76" s="10"/>
    </row>
    <row r="77" customFormat="false" ht="15" hidden="false" customHeight="false" outlineLevel="0" collapsed="false">
      <c r="A77" s="4" t="s">
        <v>168</v>
      </c>
      <c r="D77" s="5" t="n">
        <f aca="false">Assumptions!$B$18*(1-Assumptions!$B$23*$B$9-Assumptions!$B$19)</f>
        <v>18.5</v>
      </c>
      <c r="E77" s="5" t="n">
        <f aca="false">Assumptions!$B$18*(1-Assumptions!$B$23*$B$9-Assumptions!$B$19)</f>
        <v>18.5</v>
      </c>
      <c r="F77" s="5" t="n">
        <f aca="false">Assumptions!$B$18*(1-Assumptions!$B$23*$B$9-Assumptions!$B$19)</f>
        <v>18.5</v>
      </c>
      <c r="G77" s="5" t="n">
        <f aca="false">Assumptions!$B$18*(1-Assumptions!$B$23*$B$9-Assumptions!$B$19)</f>
        <v>18.5</v>
      </c>
      <c r="H77" s="5" t="n">
        <f aca="false">Assumptions!$B$18*(1-Assumptions!$B$23*$B$9-Assumptions!$B$19)</f>
        <v>18.5</v>
      </c>
    </row>
    <row r="78" customFormat="false" ht="15" hidden="false" customHeight="false" outlineLevel="0" collapsed="false">
      <c r="A78" s="4" t="s">
        <v>169</v>
      </c>
      <c r="D78" s="5" t="n">
        <f aca="false">D77*Assumptions!$B$17/(1-Assumptions!$B$16)</f>
        <v>107.636363636364</v>
      </c>
      <c r="E78" s="5" t="n">
        <f aca="false">E77*Assumptions!$B$17/(1-Assumptions!$B$16)</f>
        <v>107.636363636364</v>
      </c>
      <c r="F78" s="5" t="n">
        <f aca="false">F77*Assumptions!$B$17/(1-Assumptions!$B$16)</f>
        <v>107.636363636364</v>
      </c>
      <c r="G78" s="5" t="n">
        <f aca="false">G77*Assumptions!$B$17/(1-Assumptions!$B$16)</f>
        <v>107.636363636364</v>
      </c>
      <c r="H78" s="5" t="n">
        <f aca="false">H77*Assumptions!$B$17/(1-Assumptions!$B$16)</f>
        <v>107.636363636364</v>
      </c>
    </row>
    <row r="79" customFormat="false" ht="15" hidden="false" customHeight="false" outlineLevel="0" collapsed="false">
      <c r="A79" s="4" t="s">
        <v>170</v>
      </c>
      <c r="D79" s="5" t="n">
        <f aca="false">Assumptions!D$37*$B$8</f>
        <v>32</v>
      </c>
      <c r="E79" s="5" t="n">
        <f aca="false">Assumptions!E$37*$B$8</f>
        <v>30</v>
      </c>
      <c r="F79" s="5" t="n">
        <f aca="false">Assumptions!F$37*$B$8</f>
        <v>28</v>
      </c>
      <c r="G79" s="5" t="n">
        <f aca="false">Assumptions!G$37*$B$8</f>
        <v>26</v>
      </c>
      <c r="H79" s="5" t="n">
        <f aca="false">Assumptions!H$37*$B$8</f>
        <v>25</v>
      </c>
    </row>
    <row r="80" customFormat="false" ht="15" hidden="false" customHeight="false" outlineLevel="0" collapsed="false">
      <c r="A80" s="4" t="s">
        <v>171</v>
      </c>
      <c r="D80" s="29" t="n">
        <f aca="false">IFERROR(D78/D79,0)</f>
        <v>3.36363636363636</v>
      </c>
      <c r="E80" s="29" t="n">
        <f aca="false">IFERROR(E78/E79,0)</f>
        <v>3.58787878787879</v>
      </c>
      <c r="F80" s="29" t="n">
        <f aca="false">IFERROR(F78/F79,0)</f>
        <v>3.84415584415585</v>
      </c>
      <c r="G80" s="29" t="n">
        <f aca="false">IFERROR(G78/G79,0)</f>
        <v>4.13986013986014</v>
      </c>
      <c r="H80" s="29" t="n">
        <f aca="false">IFERROR(H78/H79,0)</f>
        <v>4.30545454545455</v>
      </c>
    </row>
    <row r="82" customFormat="false" ht="15" hidden="false" customHeight="false" outlineLevel="0" collapsed="false">
      <c r="A82" s="3" t="s">
        <v>172</v>
      </c>
      <c r="B82" s="10"/>
      <c r="C82" s="10"/>
      <c r="D82" s="10"/>
      <c r="E82" s="10"/>
      <c r="F82" s="10"/>
      <c r="G82" s="10"/>
      <c r="H82" s="10"/>
    </row>
    <row r="83" customFormat="false" ht="15" hidden="false" customHeight="false" outlineLevel="0" collapsed="false">
      <c r="A83" s="11" t="s">
        <v>173</v>
      </c>
      <c r="B83" s="26" t="n">
        <f aca="false">SUM(C63:H63)</f>
        <v>-5.2473348905802</v>
      </c>
    </row>
    <row r="84" customFormat="false" ht="15" hidden="false" customHeight="false" outlineLevel="0" collapsed="false">
      <c r="A84" s="11" t="s">
        <v>174</v>
      </c>
      <c r="B84" s="26" t="n">
        <f aca="false">H64*H62</f>
        <v>17.0309378905148</v>
      </c>
    </row>
    <row r="85" customFormat="false" ht="15" hidden="false" customHeight="false" outlineLevel="0" collapsed="false">
      <c r="A85" s="11" t="s">
        <v>175</v>
      </c>
      <c r="B85" s="26" t="n">
        <f aca="false">B83+B84</f>
        <v>11.7836029999346</v>
      </c>
    </row>
    <row r="86" customFormat="false" ht="15" hidden="false" customHeight="false" outlineLevel="0" collapsed="false">
      <c r="A86" s="11" t="s">
        <v>10</v>
      </c>
      <c r="B86" s="30" t="n">
        <f aca="false">IFERROR(IRR(C65:H65),"n/m")</f>
        <v>0.442984304010702</v>
      </c>
    </row>
    <row r="87" customFormat="false" ht="15" hidden="false" customHeight="false" outlineLevel="0" collapsed="false">
      <c r="A87" s="11" t="s">
        <v>176</v>
      </c>
      <c r="B87" s="30" t="str">
        <f aca="false">IFERROR(IRR(C60:H60),"n/m")</f>
        <v>n/m</v>
      </c>
    </row>
    <row r="88" customFormat="false" ht="15" hidden="false" customHeight="false" outlineLevel="0" collapsed="false">
      <c r="A88" s="11" t="s">
        <v>177</v>
      </c>
      <c r="B88" s="26" t="n">
        <f aca="false">-MIN(C61:H61)</f>
        <v>8.347578</v>
      </c>
    </row>
    <row r="89" customFormat="false" ht="15" hidden="false" customHeight="false" outlineLevel="0" collapsed="false">
      <c r="A89" s="11" t="s">
        <v>178</v>
      </c>
      <c r="B89" s="31" t="str">
        <f aca="false">IF(MAX(D68:H68)=0,"&gt;Y5",MAX(D68:H68))</f>
        <v>&gt;Y5</v>
      </c>
    </row>
    <row r="90" customFormat="false" ht="15" hidden="false" customHeight="false" outlineLevel="0" collapsed="false">
      <c r="A90" s="11" t="s">
        <v>179</v>
      </c>
      <c r="B90" s="31" t="n">
        <f aca="false">IF(MAX(D69:H69)=0,"&gt;Y5",MAX(D69:H69))</f>
        <v>3</v>
      </c>
    </row>
    <row r="91" customFormat="false" ht="15" hidden="false" customHeight="false" outlineLevel="0" collapsed="false">
      <c r="A91" s="11" t="s">
        <v>180</v>
      </c>
      <c r="B91" s="26" t="n">
        <f aca="false">H27</f>
        <v>30.047985</v>
      </c>
    </row>
    <row r="92" customFormat="false" ht="15" hidden="false" customHeight="false" outlineLevel="0" collapsed="false">
      <c r="A92" s="11" t="s">
        <v>13</v>
      </c>
      <c r="B92" s="30" t="n">
        <f aca="false">H50</f>
        <v>0.126546736827777</v>
      </c>
    </row>
    <row r="93" customFormat="false" ht="15" hidden="false" customHeight="false" outlineLevel="0" collapsed="false">
      <c r="A93" s="11" t="s">
        <v>181</v>
      </c>
      <c r="B93" s="30" t="n">
        <f aca="false">IFERROR(B84/B85,0)</f>
        <v>1.44530818719956</v>
      </c>
    </row>
    <row r="94" customFormat="false" ht="15" hidden="false" customHeight="false" outlineLevel="0" collapsed="false">
      <c r="A94" s="11" t="s">
        <v>182</v>
      </c>
      <c r="B94" s="26" t="n">
        <f aca="false">B83+H66*H62</f>
        <v>7.35656165328836</v>
      </c>
    </row>
    <row r="95" customFormat="false" ht="15" hidden="false" customHeight="false" outlineLevel="0" collapsed="false">
      <c r="A95" s="11" t="s">
        <v>183</v>
      </c>
      <c r="B95" s="30" t="n">
        <f aca="false">IFERROR(IRR(C67:H67),"n/m")</f>
        <v>0.348859832208363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4" topLeftCell="C15" activePane="bottomRight" state="frozen"/>
      <selection pane="topLeft" activeCell="A1" activeCellId="0" sqref="A1"/>
      <selection pane="topRight" activeCell="C1" activeCellId="0" sqref="C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8" min="2" style="0" width="12"/>
  </cols>
  <sheetData>
    <row r="1" customFormat="false" ht="17.35" hidden="false" customHeight="false" outlineLevel="0" collapsed="false">
      <c r="A1" s="1" t="s">
        <v>185</v>
      </c>
    </row>
    <row r="2" customFormat="false" ht="15" hidden="false" customHeight="false" outlineLevel="0" collapsed="false">
      <c r="A2" s="4" t="s">
        <v>110</v>
      </c>
      <c r="B2" s="11" t="s">
        <v>5</v>
      </c>
    </row>
    <row r="3" customFormat="false" ht="15" hidden="false" customHeight="false" outlineLevel="0" collapsed="false">
      <c r="A3" s="4" t="s">
        <v>111</v>
      </c>
      <c r="B3" s="4" t="n">
        <v>3</v>
      </c>
    </row>
    <row r="5" customFormat="false" ht="15" hidden="false" customHeight="false" outlineLevel="0" collapsed="false">
      <c r="A5" s="4" t="s">
        <v>101</v>
      </c>
      <c r="B5" s="20" t="n">
        <f aca="false">INDEX(Assumptions!$B$48:$D$48,$B$3)</f>
        <v>1.2</v>
      </c>
    </row>
    <row r="6" customFormat="false" ht="15" hidden="false" customHeight="false" outlineLevel="0" collapsed="false">
      <c r="A6" s="4" t="s">
        <v>102</v>
      </c>
      <c r="B6" s="20" t="n">
        <f aca="false">INDEX(Assumptions!$B$49:$D$49,$B$3)</f>
        <v>1.1</v>
      </c>
    </row>
    <row r="7" customFormat="false" ht="15" hidden="false" customHeight="false" outlineLevel="0" collapsed="false">
      <c r="A7" s="4" t="s">
        <v>103</v>
      </c>
      <c r="B7" s="20" t="n">
        <f aca="false">INDEX(Assumptions!$B$50:$D$50,$B$3)</f>
        <v>1.25</v>
      </c>
    </row>
    <row r="8" customFormat="false" ht="15" hidden="false" customHeight="false" outlineLevel="0" collapsed="false">
      <c r="A8" s="4" t="s">
        <v>104</v>
      </c>
      <c r="B8" s="20" t="n">
        <f aca="false">INDEX(Assumptions!$B$51:$D$51,$B$3)</f>
        <v>0.9</v>
      </c>
    </row>
    <row r="9" customFormat="false" ht="15" hidden="false" customHeight="false" outlineLevel="0" collapsed="false">
      <c r="A9" s="4" t="s">
        <v>105</v>
      </c>
      <c r="B9" s="20" t="n">
        <f aca="false">INDEX(Assumptions!$B$52:$D$52,$B$3)</f>
        <v>0.97</v>
      </c>
    </row>
    <row r="10" customFormat="false" ht="15" hidden="false" customHeight="false" outlineLevel="0" collapsed="false">
      <c r="A10" s="4" t="s">
        <v>106</v>
      </c>
      <c r="B10" s="20" t="n">
        <f aca="false">INDEX(Assumptions!$B$53:$D$53,$B$3)</f>
        <v>0.95</v>
      </c>
    </row>
    <row r="11" customFormat="false" ht="15" hidden="false" customHeight="false" outlineLevel="0" collapsed="false">
      <c r="A11" s="4" t="s">
        <v>107</v>
      </c>
      <c r="B11" s="20" t="n">
        <f aca="false">INDEX(Assumptions!$B$54:$D$54,$B$3)</f>
        <v>0.95</v>
      </c>
    </row>
    <row r="12" customFormat="false" ht="15" hidden="false" customHeight="false" outlineLevel="0" collapsed="false">
      <c r="A12" s="4" t="s">
        <v>108</v>
      </c>
      <c r="B12" s="20" t="n">
        <f aca="false">INDEX(Assumptions!$B$55:$D$55,$B$3)</f>
        <v>1</v>
      </c>
    </row>
    <row r="14" customFormat="false" ht="15" hidden="false" customHeight="false" outlineLevel="0" collapsed="false">
      <c r="A14" s="3" t="s">
        <v>112</v>
      </c>
      <c r="B14" s="10"/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27</v>
      </c>
    </row>
    <row r="15" customFormat="false" ht="15" hidden="false" customHeight="false" outlineLevel="0" collapsed="false">
      <c r="A15" s="4" t="s">
        <v>113</v>
      </c>
      <c r="C15" s="21" t="n">
        <v>0</v>
      </c>
      <c r="D15" s="21" t="n">
        <v>1</v>
      </c>
      <c r="E15" s="21" t="n">
        <v>2</v>
      </c>
      <c r="F15" s="21" t="n">
        <v>3</v>
      </c>
      <c r="G15" s="21" t="n">
        <v>4</v>
      </c>
      <c r="H15" s="21" t="n">
        <v>5</v>
      </c>
    </row>
    <row r="16" customFormat="false" ht="15" hidden="false" customHeight="false" outlineLevel="0" collapsed="false">
      <c r="A16" s="4" t="s">
        <v>114</v>
      </c>
      <c r="C16" s="22" t="n">
        <v>1</v>
      </c>
      <c r="D16" s="22" t="n">
        <f aca="false">$B$12</f>
        <v>1</v>
      </c>
      <c r="E16" s="22" t="n">
        <v>1</v>
      </c>
      <c r="F16" s="22" t="n">
        <v>1</v>
      </c>
      <c r="G16" s="22" t="n">
        <v>1</v>
      </c>
      <c r="H16" s="22" t="n">
        <v>1</v>
      </c>
    </row>
    <row r="17" customFormat="false" ht="15" hidden="false" customHeight="false" outlineLevel="0" collapsed="false">
      <c r="A17" s="3" t="s">
        <v>115</v>
      </c>
      <c r="B17" s="10"/>
      <c r="C17" s="10"/>
      <c r="D17" s="10"/>
      <c r="E17" s="10"/>
      <c r="F17" s="10"/>
      <c r="G17" s="10"/>
      <c r="H17" s="10"/>
    </row>
    <row r="18" customFormat="false" ht="15" hidden="false" customHeight="false" outlineLevel="0" collapsed="false">
      <c r="A18" s="4" t="s">
        <v>116</v>
      </c>
      <c r="C18" s="23" t="n">
        <v>0</v>
      </c>
      <c r="D18" s="24" t="n">
        <f aca="false">Assumptions!D$33*$B$5</f>
        <v>540</v>
      </c>
      <c r="E18" s="24" t="n">
        <f aca="false">Assumptions!E$33*$B$5</f>
        <v>1440</v>
      </c>
      <c r="F18" s="24" t="n">
        <f aca="false">Assumptions!F$33*$B$5</f>
        <v>2520</v>
      </c>
      <c r="G18" s="24" t="n">
        <f aca="false">Assumptions!G$33*$B$5</f>
        <v>3480</v>
      </c>
      <c r="H18" s="24" t="n">
        <f aca="false">Assumptions!H$33*$B$5</f>
        <v>4200</v>
      </c>
    </row>
    <row r="19" customFormat="false" ht="15" hidden="false" customHeight="false" outlineLevel="0" collapsed="false">
      <c r="A19" s="4" t="s">
        <v>117</v>
      </c>
      <c r="D19" s="23" t="n">
        <f aca="false">AVERAGE(C18,D18)</f>
        <v>270</v>
      </c>
      <c r="E19" s="23" t="n">
        <f aca="false">AVERAGE(D18,E18)</f>
        <v>990</v>
      </c>
      <c r="F19" s="23" t="n">
        <f aca="false">AVERAGE(E18,F18)</f>
        <v>1980</v>
      </c>
      <c r="G19" s="23" t="n">
        <f aca="false">AVERAGE(F18,G18)</f>
        <v>3000</v>
      </c>
      <c r="H19" s="23" t="n">
        <f aca="false">AVERAGE(G18,H18)</f>
        <v>3840</v>
      </c>
    </row>
    <row r="20" customFormat="false" ht="15" hidden="false" customHeight="false" outlineLevel="0" collapsed="false">
      <c r="A20" s="4" t="s">
        <v>118</v>
      </c>
      <c r="D20" s="24" t="n">
        <f aca="false">Assumptions!D$34*$B$6</f>
        <v>462</v>
      </c>
      <c r="E20" s="24" t="n">
        <f aca="false">Assumptions!E$34*$B$6</f>
        <v>495</v>
      </c>
      <c r="F20" s="24" t="n">
        <f aca="false">Assumptions!F$34*$B$6</f>
        <v>528</v>
      </c>
      <c r="G20" s="24" t="n">
        <f aca="false">Assumptions!G$34*$B$6</f>
        <v>550</v>
      </c>
      <c r="H20" s="24" t="n">
        <f aca="false">Assumptions!H$34*$B$6</f>
        <v>572</v>
      </c>
    </row>
    <row r="21" customFormat="false" ht="15" hidden="false" customHeight="false" outlineLevel="0" collapsed="false">
      <c r="A21" s="4" t="s">
        <v>119</v>
      </c>
      <c r="C21" s="25" t="n">
        <v>0</v>
      </c>
      <c r="D21" s="25" t="n">
        <f aca="false">D19*D20*12/1000000*D$16</f>
        <v>1.49688</v>
      </c>
      <c r="E21" s="25" t="n">
        <f aca="false">E19*E20*12/1000000*E$16</f>
        <v>5.8806</v>
      </c>
      <c r="F21" s="25" t="n">
        <f aca="false">F19*F20*12/1000000*F$16</f>
        <v>12.54528</v>
      </c>
      <c r="G21" s="25" t="n">
        <f aca="false">G19*G20*12/1000000*G$16</f>
        <v>19.8</v>
      </c>
      <c r="H21" s="25" t="n">
        <f aca="false">H19*H20*12/1000000*H$16</f>
        <v>26.35776</v>
      </c>
    </row>
    <row r="22" customFormat="false" ht="15" hidden="false" customHeight="false" outlineLevel="0" collapsed="false">
      <c r="A22" s="4" t="s">
        <v>120</v>
      </c>
      <c r="C22" s="23" t="n">
        <v>0</v>
      </c>
      <c r="D22" s="24" t="n">
        <f aca="false">Assumptions!D$36*$B$7</f>
        <v>6250</v>
      </c>
      <c r="E22" s="24" t="n">
        <f aca="false">Assumptions!E$36*$B$7</f>
        <v>13750</v>
      </c>
      <c r="F22" s="24" t="n">
        <f aca="false">Assumptions!F$36*$B$7</f>
        <v>21250</v>
      </c>
      <c r="G22" s="24" t="n">
        <f aca="false">Assumptions!G$36*$B$7</f>
        <v>28750</v>
      </c>
      <c r="H22" s="24" t="n">
        <f aca="false">Assumptions!H$36*$B$7</f>
        <v>35000</v>
      </c>
    </row>
    <row r="23" customFormat="false" ht="15" hidden="false" customHeight="false" outlineLevel="0" collapsed="false">
      <c r="A23" s="4" t="s">
        <v>121</v>
      </c>
      <c r="C23" s="23" t="n">
        <v>0</v>
      </c>
      <c r="D23" s="24" t="n">
        <f aca="false">C23*Assumptions!$B$16+D22</f>
        <v>6250</v>
      </c>
      <c r="E23" s="24" t="n">
        <f aca="false">D23*Assumptions!$B$16+E22</f>
        <v>16562.5</v>
      </c>
      <c r="F23" s="24" t="n">
        <f aca="false">E23*Assumptions!$B$16+F22</f>
        <v>28703.125</v>
      </c>
      <c r="G23" s="24" t="n">
        <f aca="false">F23*Assumptions!$B$16+G22</f>
        <v>41666.40625</v>
      </c>
      <c r="H23" s="24" t="n">
        <f aca="false">G23*Assumptions!$B$16+H22</f>
        <v>53749.8828125</v>
      </c>
    </row>
    <row r="24" customFormat="false" ht="15" hidden="false" customHeight="false" outlineLevel="0" collapsed="false">
      <c r="A24" s="4" t="s">
        <v>122</v>
      </c>
      <c r="C24" s="23" t="n">
        <v>0</v>
      </c>
      <c r="D24" s="24" t="n">
        <f aca="false">D23*Assumptions!$B$17</f>
        <v>20000</v>
      </c>
      <c r="E24" s="24" t="n">
        <f aca="false">E23*Assumptions!$B$17</f>
        <v>53000</v>
      </c>
      <c r="F24" s="24" t="n">
        <f aca="false">F23*Assumptions!$B$17</f>
        <v>91850</v>
      </c>
      <c r="G24" s="24" t="n">
        <f aca="false">G23*Assumptions!$B$17</f>
        <v>133332.5</v>
      </c>
      <c r="H24" s="24" t="n">
        <f aca="false">H23*Assumptions!$B$17</f>
        <v>171999.625</v>
      </c>
    </row>
    <row r="25" customFormat="false" ht="15" hidden="false" customHeight="false" outlineLevel="0" collapsed="false">
      <c r="A25" s="4" t="s">
        <v>123</v>
      </c>
      <c r="C25" s="25" t="n">
        <v>0</v>
      </c>
      <c r="D25" s="5" t="n">
        <f aca="false">D24*Assumptions!$B$18/1000000*D$16</f>
        <v>1</v>
      </c>
      <c r="E25" s="5" t="n">
        <f aca="false">E24*Assumptions!$B$18/1000000*E$16</f>
        <v>2.65</v>
      </c>
      <c r="F25" s="5" t="n">
        <f aca="false">F24*Assumptions!$B$18/1000000*F$16</f>
        <v>4.5925</v>
      </c>
      <c r="G25" s="5" t="n">
        <f aca="false">G24*Assumptions!$B$18/1000000*G$16</f>
        <v>6.666625</v>
      </c>
      <c r="H25" s="5" t="n">
        <f aca="false">H24*Assumptions!$B$18/1000000*H$16</f>
        <v>8.59998125</v>
      </c>
    </row>
    <row r="26" customFormat="false" ht="15" hidden="false" customHeight="false" outlineLevel="0" collapsed="false">
      <c r="A26" s="4" t="s">
        <v>124</v>
      </c>
      <c r="C26" s="25" t="n">
        <v>0</v>
      </c>
      <c r="D26" s="5" t="n">
        <f aca="false">Assumptions!D$35*$B$6*D$16</f>
        <v>0.33</v>
      </c>
      <c r="E26" s="5" t="n">
        <f aca="false">Assumptions!E$35*$B$6*E$16</f>
        <v>0.99</v>
      </c>
      <c r="F26" s="5" t="n">
        <f aca="false">Assumptions!F$35*$B$6*F$16</f>
        <v>1.87</v>
      </c>
      <c r="G26" s="5" t="n">
        <f aca="false">Assumptions!G$35*$B$6*G$16</f>
        <v>2.75</v>
      </c>
      <c r="H26" s="5" t="n">
        <f aca="false">Assumptions!H$35*$B$6*H$16</f>
        <v>3.52</v>
      </c>
    </row>
    <row r="27" customFormat="false" ht="15" hidden="false" customHeight="false" outlineLevel="0" collapsed="false">
      <c r="A27" s="11" t="s">
        <v>125</v>
      </c>
      <c r="C27" s="26" t="n">
        <v>0</v>
      </c>
      <c r="D27" s="26" t="n">
        <f aca="false">D21+D25+D26</f>
        <v>2.82688</v>
      </c>
      <c r="E27" s="26" t="n">
        <f aca="false">E21+E25+E26</f>
        <v>9.5206</v>
      </c>
      <c r="F27" s="26" t="n">
        <f aca="false">F21+F25+F26</f>
        <v>19.00778</v>
      </c>
      <c r="G27" s="26" t="n">
        <f aca="false">G21+G25+G26</f>
        <v>29.216625</v>
      </c>
      <c r="H27" s="26" t="n">
        <f aca="false">H21+H25+H26</f>
        <v>38.47774125</v>
      </c>
    </row>
    <row r="28" customFormat="false" ht="15" hidden="false" customHeight="false" outlineLevel="0" collapsed="false">
      <c r="A28" s="4" t="s">
        <v>126</v>
      </c>
      <c r="E28" s="27" t="n">
        <f aca="false">IFERROR(E27/D27-1,0)</f>
        <v>2.36788261263301</v>
      </c>
      <c r="F28" s="27" t="n">
        <f aca="false">IFERROR(F27/E27-1,0)</f>
        <v>0.99648971703464</v>
      </c>
      <c r="G28" s="27" t="n">
        <f aca="false">IFERROR(G27/F27-1,0)</f>
        <v>0.537087708296287</v>
      </c>
      <c r="H28" s="27" t="n">
        <f aca="false">IFERROR(H27/G27-1,0)</f>
        <v>0.316981042471538</v>
      </c>
    </row>
    <row r="29" customFormat="false" ht="15" hidden="false" customHeight="false" outlineLevel="0" collapsed="false">
      <c r="A29" s="4" t="s">
        <v>127</v>
      </c>
      <c r="D29" s="6" t="n">
        <f aca="false">IFERROR(D27/Assumptions!D$43,0)</f>
        <v>0.00580575619019769</v>
      </c>
      <c r="E29" s="6" t="n">
        <f aca="false">IFERROR(E27/Assumptions!E$43,0)</f>
        <v>0.018359723310942</v>
      </c>
      <c r="F29" s="6" t="n">
        <f aca="false">IFERROR(F27/Assumptions!F$43,0)</f>
        <v>0.0344178392468516</v>
      </c>
      <c r="G29" s="6" t="n">
        <f aca="false">IFERROR(G27/Assumptions!G$43,0)</f>
        <v>0.0496744015515992</v>
      </c>
      <c r="H29" s="6" t="n">
        <f aca="false">IFERROR(H27/Assumptions!H$43,0)</f>
        <v>0.0614274602249529</v>
      </c>
    </row>
    <row r="30" customFormat="false" ht="15" hidden="false" customHeight="false" outlineLevel="0" collapsed="false">
      <c r="A30" s="3" t="s">
        <v>29</v>
      </c>
      <c r="B30" s="10"/>
      <c r="C30" s="10"/>
      <c r="D30" s="10"/>
      <c r="E30" s="10"/>
      <c r="F30" s="10"/>
      <c r="G30" s="10"/>
      <c r="H30" s="10"/>
    </row>
    <row r="31" customFormat="false" ht="15" hidden="false" customHeight="false" outlineLevel="0" collapsed="false">
      <c r="A31" s="4" t="s">
        <v>128</v>
      </c>
      <c r="C31" s="25" t="n">
        <v>0</v>
      </c>
      <c r="D31" s="5" t="n">
        <f aca="false">D21*Assumptions!$B$22*$B$9</f>
        <v>0.900223632</v>
      </c>
      <c r="E31" s="5" t="n">
        <f aca="false">E21*Assumptions!$B$22*$B$9</f>
        <v>3.53659284</v>
      </c>
      <c r="F31" s="5" t="n">
        <f aca="false">F21*Assumptions!$B$22*$B$9</f>
        <v>7.544731392</v>
      </c>
      <c r="G31" s="5" t="n">
        <f aca="false">G21*Assumptions!$B$22*$B$9</f>
        <v>11.90772</v>
      </c>
      <c r="H31" s="5" t="n">
        <f aca="false">H21*Assumptions!$B$22*$B$9</f>
        <v>15.851556864</v>
      </c>
    </row>
    <row r="32" customFormat="false" ht="15" hidden="false" customHeight="false" outlineLevel="0" collapsed="false">
      <c r="A32" s="4" t="s">
        <v>129</v>
      </c>
      <c r="C32" s="25" t="n">
        <v>0</v>
      </c>
      <c r="D32" s="5" t="n">
        <f aca="false">D25*Assumptions!$B$23*$B$9</f>
        <v>0.4365</v>
      </c>
      <c r="E32" s="5" t="n">
        <f aca="false">E25*Assumptions!$B$23*$B$9</f>
        <v>1.156725</v>
      </c>
      <c r="F32" s="5" t="n">
        <f aca="false">F25*Assumptions!$B$23*$B$9</f>
        <v>2.00462625</v>
      </c>
      <c r="G32" s="5" t="n">
        <f aca="false">G25*Assumptions!$B$23*$B$9</f>
        <v>2.9099818125</v>
      </c>
      <c r="H32" s="5" t="n">
        <f aca="false">H25*Assumptions!$B$23*$B$9</f>
        <v>3.753891815625</v>
      </c>
    </row>
    <row r="33" customFormat="false" ht="15" hidden="false" customHeight="false" outlineLevel="0" collapsed="false">
      <c r="A33" s="4" t="s">
        <v>130</v>
      </c>
      <c r="C33" s="25" t="n">
        <v>0</v>
      </c>
      <c r="D33" s="5" t="n">
        <f aca="false">D26*Assumptions!$B$24*$B$9</f>
        <v>0.22407</v>
      </c>
      <c r="E33" s="5" t="n">
        <f aca="false">E26*Assumptions!$B$24*$B$9</f>
        <v>0.67221</v>
      </c>
      <c r="F33" s="5" t="n">
        <f aca="false">F26*Assumptions!$B$24*$B$9</f>
        <v>1.26973</v>
      </c>
      <c r="G33" s="5" t="n">
        <f aca="false">G26*Assumptions!$B$24*$B$9</f>
        <v>1.86725</v>
      </c>
      <c r="H33" s="5" t="n">
        <f aca="false">H26*Assumptions!$B$24*$B$9</f>
        <v>2.39008</v>
      </c>
    </row>
    <row r="34" customFormat="false" ht="15" hidden="false" customHeight="false" outlineLevel="0" collapsed="false">
      <c r="A34" s="11" t="s">
        <v>29</v>
      </c>
      <c r="C34" s="26" t="n">
        <v>0</v>
      </c>
      <c r="D34" s="26" t="n">
        <f aca="false">D27-D31-D32-D33</f>
        <v>1.266086368</v>
      </c>
      <c r="E34" s="26" t="n">
        <f aca="false">E27-E31-E32-E33</f>
        <v>4.15507216</v>
      </c>
      <c r="F34" s="26" t="n">
        <f aca="false">F27-F31-F32-F33</f>
        <v>8.188692358</v>
      </c>
      <c r="G34" s="26" t="n">
        <f aca="false">G27-G31-G32-G33</f>
        <v>12.5316731875</v>
      </c>
      <c r="H34" s="26" t="n">
        <f aca="false">H27-H31-H32-H33</f>
        <v>16.482212570375</v>
      </c>
    </row>
    <row r="35" customFormat="false" ht="15" hidden="false" customHeight="false" outlineLevel="0" collapsed="false">
      <c r="A35" s="4" t="s">
        <v>131</v>
      </c>
      <c r="D35" s="27" t="n">
        <f aca="false">IFERROR(D34/D27,0)</f>
        <v>0.44787411138782</v>
      </c>
      <c r="E35" s="27" t="n">
        <f aca="false">IFERROR(E34/E27,0)</f>
        <v>0.436429653593261</v>
      </c>
      <c r="F35" s="27" t="n">
        <f aca="false">IFERROR(F34/F27,0)</f>
        <v>0.43080740402088</v>
      </c>
      <c r="G35" s="27" t="n">
        <f aca="false">IFERROR(G34/G27,0)</f>
        <v>0.42892268314701</v>
      </c>
      <c r="H35" s="27" t="n">
        <f aca="false">IFERROR(H34/H27,0)</f>
        <v>0.428357071775231</v>
      </c>
    </row>
    <row r="36" customFormat="false" ht="15" hidden="false" customHeight="false" outlineLevel="0" collapsed="false">
      <c r="A36" s="3" t="s">
        <v>132</v>
      </c>
      <c r="B36" s="10"/>
      <c r="C36" s="10"/>
      <c r="D36" s="10"/>
      <c r="E36" s="10"/>
      <c r="F36" s="10"/>
      <c r="G36" s="10"/>
      <c r="H36" s="10"/>
    </row>
    <row r="37" customFormat="false" ht="15" hidden="false" customHeight="false" outlineLevel="0" collapsed="false">
      <c r="A37" s="4" t="s">
        <v>106</v>
      </c>
      <c r="C37" s="25" t="n">
        <v>0</v>
      </c>
      <c r="D37" s="5" t="n">
        <f aca="false">(D21+D26)*Assumptions!D$38*$B$10</f>
        <v>0.24297504</v>
      </c>
      <c r="E37" s="5" t="n">
        <f aca="false">(E21+E26)*Assumptions!E$38*$B$10</f>
        <v>0.7832484</v>
      </c>
      <c r="F37" s="5" t="n">
        <f aca="false">(F21+F26)*Assumptions!F$38*$B$10</f>
        <v>1.23250644</v>
      </c>
      <c r="G37" s="5" t="n">
        <f aca="false">(G21+G26)*Assumptions!G$38*$B$10</f>
        <v>1.6066875</v>
      </c>
      <c r="H37" s="5" t="n">
        <f aca="false">(H21+H26)*Assumptions!H$38*$B$10</f>
        <v>1.70303232</v>
      </c>
    </row>
    <row r="38" customFormat="false" ht="15" hidden="false" customHeight="false" outlineLevel="0" collapsed="false">
      <c r="A38" s="4" t="s">
        <v>133</v>
      </c>
      <c r="C38" s="25" t="n">
        <v>0</v>
      </c>
      <c r="D38" s="5" t="n">
        <f aca="false">(D21+D26)*Assumptions!D$39</f>
        <v>0.0822096</v>
      </c>
      <c r="E38" s="5" t="n">
        <f aca="false">(E21+E26)*Assumptions!E$39</f>
        <v>0.274824</v>
      </c>
      <c r="F38" s="5" t="n">
        <f aca="false">(F21+F26)*Assumptions!F$39</f>
        <v>0.53336536</v>
      </c>
      <c r="G38" s="5" t="n">
        <f aca="false">(G21+G26)*Assumptions!G$39</f>
        <v>0.78925</v>
      </c>
      <c r="H38" s="5" t="n">
        <f aca="false">(H21+H26)*Assumptions!H$39</f>
        <v>1.0457216</v>
      </c>
    </row>
    <row r="39" customFormat="false" ht="15" hidden="false" customHeight="false" outlineLevel="0" collapsed="false">
      <c r="A39" s="4" t="s">
        <v>134</v>
      </c>
      <c r="C39" s="25" t="n">
        <v>0</v>
      </c>
      <c r="D39" s="5" t="n">
        <f aca="false">D25*Assumptions!$B$19</f>
        <v>0.18</v>
      </c>
      <c r="E39" s="5" t="n">
        <f aca="false">E25*Assumptions!$B$19</f>
        <v>0.477</v>
      </c>
      <c r="F39" s="5" t="n">
        <f aca="false">F25*Assumptions!$B$19</f>
        <v>0.82665</v>
      </c>
      <c r="G39" s="5" t="n">
        <f aca="false">G25*Assumptions!$B$19</f>
        <v>1.1999925</v>
      </c>
      <c r="H39" s="5" t="n">
        <f aca="false">H25*Assumptions!$B$19</f>
        <v>1.547996625</v>
      </c>
    </row>
    <row r="40" customFormat="false" ht="15" hidden="false" customHeight="false" outlineLevel="0" collapsed="false">
      <c r="A40" s="4" t="s">
        <v>135</v>
      </c>
      <c r="C40" s="25" t="n">
        <v>0</v>
      </c>
      <c r="D40" s="5" t="n">
        <f aca="false">D22*Assumptions!D$37*$B$8/1000000</f>
        <v>0.18</v>
      </c>
      <c r="E40" s="5" t="n">
        <f aca="false">E22*Assumptions!E$37*$B$8/1000000</f>
        <v>0.37125</v>
      </c>
      <c r="F40" s="5" t="n">
        <f aca="false">F22*Assumptions!F$37*$B$8/1000000</f>
        <v>0.5355</v>
      </c>
      <c r="G40" s="5" t="n">
        <f aca="false">G22*Assumptions!G$37*$B$8/1000000</f>
        <v>0.67275</v>
      </c>
      <c r="H40" s="5" t="n">
        <f aca="false">H22*Assumptions!H$37*$B$8/1000000</f>
        <v>0.7875</v>
      </c>
    </row>
    <row r="41" customFormat="false" ht="15" hidden="false" customHeight="false" outlineLevel="0" collapsed="false">
      <c r="A41" s="4" t="s">
        <v>136</v>
      </c>
      <c r="C41" s="25" t="n">
        <v>0</v>
      </c>
      <c r="D41" s="5" t="n">
        <f aca="false">Assumptions!D$40*$B$11</f>
        <v>1.425</v>
      </c>
      <c r="E41" s="5" t="n">
        <f aca="false">Assumptions!E$40*$B$11</f>
        <v>1.9</v>
      </c>
      <c r="F41" s="5" t="n">
        <f aca="false">Assumptions!F$40*$B$11</f>
        <v>2.375</v>
      </c>
      <c r="G41" s="5" t="n">
        <f aca="false">Assumptions!G$40*$B$11</f>
        <v>2.66</v>
      </c>
      <c r="H41" s="5" t="n">
        <f aca="false">Assumptions!H$40*$B$11</f>
        <v>2.85</v>
      </c>
    </row>
    <row r="42" customFormat="false" ht="15" hidden="false" customHeight="false" outlineLevel="0" collapsed="false">
      <c r="A42" s="4" t="s">
        <v>137</v>
      </c>
      <c r="C42" s="25" t="n">
        <v>0</v>
      </c>
      <c r="D42" s="5" t="n">
        <f aca="false">Assumptions!D$41*$B$11</f>
        <v>0.475</v>
      </c>
      <c r="E42" s="5" t="n">
        <f aca="false">Assumptions!E$41*$B$11</f>
        <v>0.57</v>
      </c>
      <c r="F42" s="5" t="n">
        <f aca="false">Assumptions!F$41*$B$11</f>
        <v>0.6175</v>
      </c>
      <c r="G42" s="5" t="n">
        <f aca="false">Assumptions!G$41*$B$11</f>
        <v>0.665</v>
      </c>
      <c r="H42" s="5" t="n">
        <f aca="false">Assumptions!H$41*$B$11</f>
        <v>0.7125</v>
      </c>
    </row>
    <row r="43" customFormat="false" ht="15" hidden="false" customHeight="false" outlineLevel="0" collapsed="false">
      <c r="A43" s="4" t="s">
        <v>138</v>
      </c>
      <c r="C43" s="5" t="n">
        <f aca="false">Assumptions!$B$13</f>
        <v>1.2</v>
      </c>
      <c r="D43" s="25" t="n">
        <v>0</v>
      </c>
      <c r="E43" s="25" t="n">
        <v>0</v>
      </c>
      <c r="F43" s="25" t="n">
        <v>0</v>
      </c>
      <c r="G43" s="25" t="n">
        <v>0</v>
      </c>
      <c r="H43" s="25" t="n">
        <v>0</v>
      </c>
    </row>
    <row r="44" customFormat="false" ht="15" hidden="false" customHeight="false" outlineLevel="0" collapsed="false">
      <c r="A44" s="11" t="s">
        <v>139</v>
      </c>
      <c r="C44" s="26" t="n">
        <f aca="false">SUM(C37:C43)</f>
        <v>1.2</v>
      </c>
      <c r="D44" s="26" t="n">
        <f aca="false">SUM(D37:D43)</f>
        <v>2.58518464</v>
      </c>
      <c r="E44" s="26" t="n">
        <f aca="false">SUM(E37:E43)</f>
        <v>4.3763224</v>
      </c>
      <c r="F44" s="26" t="n">
        <f aca="false">SUM(F37:F43)</f>
        <v>6.1205218</v>
      </c>
      <c r="G44" s="26" t="n">
        <f aca="false">SUM(G37:G43)</f>
        <v>7.59368</v>
      </c>
      <c r="H44" s="26" t="n">
        <f aca="false">SUM(H37:H43)</f>
        <v>8.646750545</v>
      </c>
    </row>
    <row r="45" customFormat="false" ht="15" hidden="false" customHeight="false" outlineLevel="0" collapsed="false">
      <c r="A45" s="11" t="s">
        <v>30</v>
      </c>
      <c r="C45" s="26" t="n">
        <f aca="false">C34-C44</f>
        <v>-1.2</v>
      </c>
      <c r="D45" s="26" t="n">
        <f aca="false">D34-D44</f>
        <v>-1.319098272</v>
      </c>
      <c r="E45" s="26" t="n">
        <f aca="false">E34-E44</f>
        <v>-0.221250239999999</v>
      </c>
      <c r="F45" s="26" t="n">
        <f aca="false">F34-F44</f>
        <v>2.068170558</v>
      </c>
      <c r="G45" s="26" t="n">
        <f aca="false">G34-G44</f>
        <v>4.9379931875</v>
      </c>
      <c r="H45" s="26" t="n">
        <f aca="false">H34-H44</f>
        <v>7.835462025375</v>
      </c>
    </row>
    <row r="46" customFormat="false" ht="15" hidden="false" customHeight="false" outlineLevel="0" collapsed="false">
      <c r="A46" s="4" t="s">
        <v>140</v>
      </c>
      <c r="D46" s="27" t="n">
        <f aca="false">IFERROR(D45/D27,0)</f>
        <v>-0.466626907403215</v>
      </c>
      <c r="E46" s="27" t="n">
        <f aca="false">IFERROR(E45/E27,0)</f>
        <v>-0.0232391067789844</v>
      </c>
      <c r="F46" s="27" t="n">
        <f aca="false">IFERROR(F45/F27,0)</f>
        <v>0.108806528589872</v>
      </c>
      <c r="G46" s="27" t="n">
        <f aca="false">IFERROR(G45/G27,0)</f>
        <v>0.169013128227508</v>
      </c>
      <c r="H46" s="27" t="n">
        <f aca="false">IFERROR(H45/H27,0)</f>
        <v>0.203636226317599</v>
      </c>
    </row>
    <row r="47" customFormat="false" ht="15" hidden="false" customHeight="false" outlineLevel="0" collapsed="false">
      <c r="A47" s="4" t="s">
        <v>141</v>
      </c>
      <c r="C47" s="5" t="n">
        <f aca="false">Assumptions!C$42</f>
        <v>0.8</v>
      </c>
      <c r="D47" s="5" t="n">
        <f aca="false">Assumptions!D$42</f>
        <v>0.5</v>
      </c>
      <c r="E47" s="5" t="n">
        <f aca="false">Assumptions!E$42</f>
        <v>0.8</v>
      </c>
      <c r="F47" s="5" t="n">
        <f aca="false">Assumptions!F$42</f>
        <v>0.6</v>
      </c>
      <c r="G47" s="5" t="n">
        <f aca="false">Assumptions!G$42</f>
        <v>0.5</v>
      </c>
      <c r="H47" s="5" t="n">
        <f aca="false">Assumptions!H$42</f>
        <v>0.4</v>
      </c>
    </row>
    <row r="48" customFormat="false" ht="15" hidden="false" customHeight="false" outlineLevel="0" collapsed="false">
      <c r="A48" s="4" t="s">
        <v>142</v>
      </c>
      <c r="C48" s="25" t="n">
        <v>0</v>
      </c>
      <c r="D48" s="5" t="n">
        <f aca="false">SUM($C47:C47)/Assumptions!$B$12</f>
        <v>0.16</v>
      </c>
      <c r="E48" s="5" t="n">
        <f aca="false">SUM($C47:D47)/Assumptions!$B$12</f>
        <v>0.26</v>
      </c>
      <c r="F48" s="5" t="n">
        <f aca="false">SUM($C47:E47)/Assumptions!$B$12</f>
        <v>0.42</v>
      </c>
      <c r="G48" s="5" t="n">
        <f aca="false">SUM($C47:F47)/Assumptions!$B$12</f>
        <v>0.54</v>
      </c>
      <c r="H48" s="5" t="n">
        <f aca="false">SUM($C47:G47)/Assumptions!$B$12</f>
        <v>0.64</v>
      </c>
    </row>
    <row r="49" customFormat="false" ht="15" hidden="false" customHeight="false" outlineLevel="0" collapsed="false">
      <c r="A49" s="11" t="s">
        <v>31</v>
      </c>
      <c r="C49" s="26" t="n">
        <f aca="false">C45-C48</f>
        <v>-1.2</v>
      </c>
      <c r="D49" s="26" t="n">
        <f aca="false">D45-D48</f>
        <v>-1.479098272</v>
      </c>
      <c r="E49" s="26" t="n">
        <f aca="false">E45-E48</f>
        <v>-0.481250239999999</v>
      </c>
      <c r="F49" s="26" t="n">
        <f aca="false">F45-F48</f>
        <v>1.648170558</v>
      </c>
      <c r="G49" s="26" t="n">
        <f aca="false">G45-G48</f>
        <v>4.3979931875</v>
      </c>
      <c r="H49" s="26" t="n">
        <f aca="false">H45-H48</f>
        <v>7.195462025375</v>
      </c>
    </row>
    <row r="50" customFormat="false" ht="15" hidden="false" customHeight="false" outlineLevel="0" collapsed="false">
      <c r="A50" s="4" t="s">
        <v>143</v>
      </c>
      <c r="D50" s="27" t="n">
        <f aca="false">IFERROR(D49/D27,0)</f>
        <v>-0.523226409327598</v>
      </c>
      <c r="E50" s="27" t="n">
        <f aca="false">IFERROR(E49/E27,0)</f>
        <v>-0.0505483099804633</v>
      </c>
      <c r="F50" s="27" t="n">
        <f aca="false">IFERROR(F49/F27,0)</f>
        <v>0.0867103132506795</v>
      </c>
      <c r="G50" s="27" t="n">
        <f aca="false">IFERROR(G49/G27,0)</f>
        <v>0.150530500613949</v>
      </c>
      <c r="H50" s="27" t="n">
        <f aca="false">IFERROR(H49/H27,0)</f>
        <v>0.187003233340133</v>
      </c>
    </row>
    <row r="51" customFormat="false" ht="15" hidden="false" customHeight="false" outlineLevel="0" collapsed="false">
      <c r="A51" s="3" t="s">
        <v>144</v>
      </c>
      <c r="B51" s="10"/>
      <c r="C51" s="10"/>
      <c r="D51" s="10"/>
      <c r="E51" s="10"/>
      <c r="F51" s="10"/>
      <c r="G51" s="10"/>
      <c r="H51" s="10"/>
    </row>
    <row r="52" customFormat="false" ht="15" hidden="false" customHeight="false" outlineLevel="0" collapsed="false">
      <c r="A52" s="4" t="s">
        <v>145</v>
      </c>
      <c r="C52" s="25" t="n">
        <v>0</v>
      </c>
      <c r="D52" s="25" t="n">
        <f aca="false">C55</f>
        <v>1.2</v>
      </c>
      <c r="E52" s="25" t="n">
        <f aca="false">D55</f>
        <v>2.679098272</v>
      </c>
      <c r="F52" s="25" t="n">
        <f aca="false">E55</f>
        <v>3.160348512</v>
      </c>
      <c r="G52" s="25" t="n">
        <f aca="false">F55</f>
        <v>1.512177954</v>
      </c>
      <c r="H52" s="25" t="n">
        <f aca="false">G55</f>
        <v>0</v>
      </c>
    </row>
    <row r="53" customFormat="false" ht="15" hidden="false" customHeight="false" outlineLevel="0" collapsed="false">
      <c r="A53" s="4" t="s">
        <v>146</v>
      </c>
      <c r="C53" s="25" t="n">
        <f aca="false">MAX(-C49,0)</f>
        <v>1.2</v>
      </c>
      <c r="D53" s="25" t="n">
        <f aca="false">MAX(-D49,0)</f>
        <v>1.479098272</v>
      </c>
      <c r="E53" s="25" t="n">
        <f aca="false">MAX(-E49,0)</f>
        <v>0.481250239999999</v>
      </c>
      <c r="F53" s="25" t="n">
        <f aca="false">MAX(-F49,0)</f>
        <v>0</v>
      </c>
      <c r="G53" s="25" t="n">
        <f aca="false">MAX(-G49,0)</f>
        <v>0</v>
      </c>
      <c r="H53" s="25" t="n">
        <f aca="false">MAX(-H49,0)</f>
        <v>0</v>
      </c>
    </row>
    <row r="54" customFormat="false" ht="15" hidden="false" customHeight="false" outlineLevel="0" collapsed="false">
      <c r="A54" s="4" t="s">
        <v>147</v>
      </c>
      <c r="C54" s="25" t="n">
        <v>0</v>
      </c>
      <c r="D54" s="25" t="n">
        <f aca="false">MIN(D52,MAX(D49,0))</f>
        <v>0</v>
      </c>
      <c r="E54" s="25" t="n">
        <f aca="false">MIN(E52,MAX(E49,0))</f>
        <v>0</v>
      </c>
      <c r="F54" s="25" t="n">
        <f aca="false">MIN(F52,MAX(F49,0))</f>
        <v>1.648170558</v>
      </c>
      <c r="G54" s="25" t="n">
        <f aca="false">MIN(G52,MAX(G49,0))</f>
        <v>1.512177954</v>
      </c>
      <c r="H54" s="25" t="n">
        <f aca="false">MIN(H52,MAX(H49,0))</f>
        <v>0</v>
      </c>
    </row>
    <row r="55" customFormat="false" ht="15" hidden="false" customHeight="false" outlineLevel="0" collapsed="false">
      <c r="A55" s="4" t="s">
        <v>148</v>
      </c>
      <c r="C55" s="25" t="n">
        <f aca="false">C52+C53-C54</f>
        <v>1.2</v>
      </c>
      <c r="D55" s="25" t="n">
        <f aca="false">D52+D53-D54</f>
        <v>2.679098272</v>
      </c>
      <c r="E55" s="25" t="n">
        <f aca="false">E52+E53-E54</f>
        <v>3.160348512</v>
      </c>
      <c r="F55" s="25" t="n">
        <f aca="false">F52+F53-F54</f>
        <v>1.512177954</v>
      </c>
      <c r="G55" s="25" t="n">
        <f aca="false">G52+G53-G54</f>
        <v>0</v>
      </c>
      <c r="H55" s="25" t="n">
        <f aca="false">H52+H53-H54</f>
        <v>0</v>
      </c>
    </row>
    <row r="56" customFormat="false" ht="15" hidden="false" customHeight="false" outlineLevel="0" collapsed="false">
      <c r="A56" s="4" t="s">
        <v>149</v>
      </c>
      <c r="C56" s="25" t="n">
        <v>0</v>
      </c>
      <c r="D56" s="5" t="n">
        <f aca="false">(MAX(D49,0)-D54)*Assumptions!$B$9</f>
        <v>0</v>
      </c>
      <c r="E56" s="5" t="n">
        <f aca="false">(MAX(E49,0)-E54)*Assumptions!$B$9</f>
        <v>0</v>
      </c>
      <c r="F56" s="5" t="n">
        <f aca="false">(MAX(F49,0)-F54)*Assumptions!$B$9</f>
        <v>0</v>
      </c>
      <c r="G56" s="5" t="n">
        <f aca="false">(MAX(G49,0)-G54)*Assumptions!$B$9</f>
        <v>0.692595656040001</v>
      </c>
      <c r="H56" s="5" t="n">
        <f aca="false">(MAX(H49,0)-H54)*Assumptions!$B$9</f>
        <v>1.72691088609</v>
      </c>
    </row>
    <row r="57" customFormat="false" ht="15" hidden="false" customHeight="false" outlineLevel="0" collapsed="false">
      <c r="A57" s="3" t="s">
        <v>150</v>
      </c>
      <c r="B57" s="10"/>
      <c r="C57" s="10"/>
      <c r="D57" s="10"/>
      <c r="E57" s="10"/>
      <c r="F57" s="10"/>
      <c r="G57" s="10"/>
      <c r="H57" s="10"/>
    </row>
    <row r="58" customFormat="false" ht="15" hidden="false" customHeight="false" outlineLevel="0" collapsed="false">
      <c r="A58" s="4" t="s">
        <v>151</v>
      </c>
      <c r="C58" s="25" t="n">
        <v>0</v>
      </c>
      <c r="D58" s="5" t="n">
        <f aca="false">D27*Assumptions!$B$10</f>
        <v>0.424032</v>
      </c>
      <c r="E58" s="5" t="n">
        <f aca="false">E27*Assumptions!$B$10</f>
        <v>1.42809</v>
      </c>
      <c r="F58" s="5" t="n">
        <f aca="false">F27*Assumptions!$B$10</f>
        <v>2.851167</v>
      </c>
      <c r="G58" s="5" t="n">
        <f aca="false">G27*Assumptions!$B$10</f>
        <v>4.38249375</v>
      </c>
      <c r="H58" s="5" t="n">
        <f aca="false">H27*Assumptions!$B$10</f>
        <v>5.7716611875</v>
      </c>
    </row>
    <row r="59" customFormat="false" ht="15" hidden="false" customHeight="false" outlineLevel="0" collapsed="false">
      <c r="A59" s="4" t="s">
        <v>152</v>
      </c>
      <c r="C59" s="25" t="n">
        <v>0</v>
      </c>
      <c r="D59" s="25" t="n">
        <f aca="false">D58-C58</f>
        <v>0.424032</v>
      </c>
      <c r="E59" s="25" t="n">
        <f aca="false">E58-D58</f>
        <v>1.004058</v>
      </c>
      <c r="F59" s="25" t="n">
        <f aca="false">F58-E58</f>
        <v>1.423077</v>
      </c>
      <c r="G59" s="25" t="n">
        <f aca="false">G58-F58</f>
        <v>1.53132675</v>
      </c>
      <c r="H59" s="25" t="n">
        <f aca="false">H58-G58</f>
        <v>1.3891674375</v>
      </c>
    </row>
    <row r="60" customFormat="false" ht="15" hidden="false" customHeight="false" outlineLevel="0" collapsed="false">
      <c r="A60" s="11" t="s">
        <v>32</v>
      </c>
      <c r="C60" s="26" t="n">
        <f aca="false">C45-C56-C47-C59</f>
        <v>-2</v>
      </c>
      <c r="D60" s="26" t="n">
        <f aca="false">D45-D56-D47-D59</f>
        <v>-2.243130272</v>
      </c>
      <c r="E60" s="26" t="n">
        <f aca="false">E45-E56-E47-E59</f>
        <v>-2.02530824</v>
      </c>
      <c r="F60" s="26" t="n">
        <f aca="false">F45-F56-F47-F59</f>
        <v>0.0450935580000016</v>
      </c>
      <c r="G60" s="26" t="n">
        <f aca="false">G45-G56-G47-G59</f>
        <v>2.21407078146</v>
      </c>
      <c r="H60" s="26" t="n">
        <f aca="false">H45-H56-H47-H59</f>
        <v>4.319383701785</v>
      </c>
    </row>
    <row r="61" customFormat="false" ht="15" hidden="false" customHeight="false" outlineLevel="0" collapsed="false">
      <c r="A61" s="4" t="s">
        <v>153</v>
      </c>
      <c r="C61" s="25" t="n">
        <f aca="false">C60</f>
        <v>-2</v>
      </c>
      <c r="D61" s="25" t="n">
        <f aca="false">C61+D60</f>
        <v>-4.243130272</v>
      </c>
      <c r="E61" s="25" t="n">
        <f aca="false">D61+E60</f>
        <v>-6.268438512</v>
      </c>
      <c r="F61" s="25" t="n">
        <f aca="false">E61+F60</f>
        <v>-6.223344954</v>
      </c>
      <c r="G61" s="25" t="n">
        <f aca="false">F61+G60</f>
        <v>-4.00927417254</v>
      </c>
      <c r="H61" s="25" t="n">
        <f aca="false">G61+H60</f>
        <v>0.310109529245004</v>
      </c>
    </row>
    <row r="62" customFormat="false" ht="15" hidden="false" customHeight="false" outlineLevel="0" collapsed="false">
      <c r="A62" s="4" t="s">
        <v>154</v>
      </c>
      <c r="C62" s="28" t="n">
        <f aca="false">1/(1+Assumptions!$B$7)^C15</f>
        <v>1</v>
      </c>
      <c r="D62" s="28" t="n">
        <f aca="false">1/(1+Assumptions!$B$7)^D15</f>
        <v>0.892857142857143</v>
      </c>
      <c r="E62" s="28" t="n">
        <f aca="false">1/(1+Assumptions!$B$7)^E15</f>
        <v>0.79719387755102</v>
      </c>
      <c r="F62" s="28" t="n">
        <f aca="false">1/(1+Assumptions!$B$7)^F15</f>
        <v>0.711780247813411</v>
      </c>
      <c r="G62" s="28" t="n">
        <f aca="false">1/(1+Assumptions!$B$7)^G15</f>
        <v>0.635518078404831</v>
      </c>
      <c r="H62" s="28" t="n">
        <f aca="false">1/(1+Assumptions!$B$7)^H15</f>
        <v>0.567426855718599</v>
      </c>
    </row>
    <row r="63" customFormat="false" ht="15" hidden="false" customHeight="false" outlineLevel="0" collapsed="false">
      <c r="A63" s="4" t="s">
        <v>155</v>
      </c>
      <c r="C63" s="25" t="n">
        <f aca="false">C60*C62</f>
        <v>-2</v>
      </c>
      <c r="D63" s="25" t="n">
        <f aca="false">D60*D62</f>
        <v>-2.00279488571429</v>
      </c>
      <c r="E63" s="25" t="n">
        <f aca="false">E60*E62</f>
        <v>-1.61456332908163</v>
      </c>
      <c r="F63" s="25" t="n">
        <f aca="false">F60*F62</f>
        <v>0.0320967038880296</v>
      </c>
      <c r="G63" s="25" t="n">
        <f aca="false">G60*G62</f>
        <v>1.40708200848574</v>
      </c>
      <c r="H63" s="25" t="n">
        <f aca="false">H60*H62</f>
        <v>2.45093431254603</v>
      </c>
    </row>
    <row r="64" customFormat="false" ht="15" hidden="false" customHeight="false" outlineLevel="0" collapsed="false">
      <c r="A64" s="4" t="s">
        <v>156</v>
      </c>
      <c r="H64" s="5" t="n">
        <f aca="false">MAX(H60,0)*(1+Assumptions!$B$8)/(Assumptions!$B$7-Assumptions!$B$8)</f>
        <v>49.4329468093172</v>
      </c>
    </row>
    <row r="65" customFormat="false" ht="15" hidden="false" customHeight="false" outlineLevel="0" collapsed="false">
      <c r="A65" s="4" t="s">
        <v>157</v>
      </c>
      <c r="C65" s="25" t="n">
        <f aca="false">C60</f>
        <v>-2</v>
      </c>
      <c r="D65" s="25" t="n">
        <f aca="false">D60</f>
        <v>-2.243130272</v>
      </c>
      <c r="E65" s="25" t="n">
        <f aca="false">E60</f>
        <v>-2.02530824</v>
      </c>
      <c r="F65" s="25" t="n">
        <f aca="false">F60</f>
        <v>0.0450935580000016</v>
      </c>
      <c r="G65" s="25" t="n">
        <f aca="false">G60</f>
        <v>2.21407078146</v>
      </c>
      <c r="H65" s="25" t="n">
        <f aca="false">H60+H64</f>
        <v>53.7523305111022</v>
      </c>
    </row>
    <row r="66" customFormat="false" ht="15" hidden="false" customHeight="false" outlineLevel="0" collapsed="false">
      <c r="A66" s="4" t="s">
        <v>158</v>
      </c>
      <c r="H66" s="5" t="n">
        <f aca="false">MAX(H45,0)*Assumptions!$B$11</f>
        <v>39.177310126875</v>
      </c>
    </row>
    <row r="67" customFormat="false" ht="15" hidden="false" customHeight="false" outlineLevel="0" collapsed="false">
      <c r="A67" s="4" t="s">
        <v>159</v>
      </c>
      <c r="C67" s="25" t="n">
        <f aca="false">C60</f>
        <v>-2</v>
      </c>
      <c r="D67" s="25" t="n">
        <f aca="false">D60</f>
        <v>-2.243130272</v>
      </c>
      <c r="E67" s="25" t="n">
        <f aca="false">E60</f>
        <v>-2.02530824</v>
      </c>
      <c r="F67" s="25" t="n">
        <f aca="false">F60</f>
        <v>0.0450935580000016</v>
      </c>
      <c r="G67" s="25" t="n">
        <f aca="false">G60</f>
        <v>2.21407078146</v>
      </c>
      <c r="H67" s="25" t="n">
        <f aca="false">H60+H66</f>
        <v>43.49669382866</v>
      </c>
    </row>
    <row r="68" customFormat="false" ht="15" hidden="false" customHeight="false" outlineLevel="0" collapsed="false">
      <c r="A68" s="4" t="s">
        <v>160</v>
      </c>
      <c r="C68" s="21" t="n">
        <v>0</v>
      </c>
      <c r="D68" s="21" t="n">
        <f aca="false">IF(AND(D61&gt;=0,C61&lt;0),D$15,0)</f>
        <v>0</v>
      </c>
      <c r="E68" s="21" t="n">
        <f aca="false">IF(AND(E61&gt;=0,D61&lt;0),E$15,0)</f>
        <v>0</v>
      </c>
      <c r="F68" s="21" t="n">
        <f aca="false">IF(AND(F61&gt;=0,E61&lt;0),F$15,0)</f>
        <v>0</v>
      </c>
      <c r="G68" s="21" t="n">
        <f aca="false">IF(AND(G61&gt;=0,F61&lt;0),G$15,0)</f>
        <v>0</v>
      </c>
      <c r="H68" s="21" t="n">
        <f aca="false">IF(AND(H61&gt;=0,G61&lt;0),H$15,0)</f>
        <v>5</v>
      </c>
    </row>
    <row r="69" customFormat="false" ht="15" hidden="false" customHeight="false" outlineLevel="0" collapsed="false">
      <c r="A69" s="4" t="s">
        <v>161</v>
      </c>
      <c r="C69" s="21" t="n">
        <v>0</v>
      </c>
      <c r="D69" s="21" t="n">
        <f aca="false">IF(AND(D49&gt;0,C49&lt;=0),D$15,0)</f>
        <v>0</v>
      </c>
      <c r="E69" s="21" t="n">
        <f aca="false">IF(AND(E49&gt;0,D49&lt;=0),E$15,0)</f>
        <v>0</v>
      </c>
      <c r="F69" s="21" t="n">
        <f aca="false">IF(AND(F49&gt;0,E49&lt;=0),F$15,0)</f>
        <v>3</v>
      </c>
      <c r="G69" s="21" t="n">
        <f aca="false">IF(AND(G49&gt;0,F49&lt;=0),G$15,0)</f>
        <v>0</v>
      </c>
      <c r="H69" s="21" t="n">
        <f aca="false">IF(AND(H49&gt;0,G49&lt;=0),H$15,0)</f>
        <v>0</v>
      </c>
    </row>
    <row r="70" customFormat="false" ht="15" hidden="false" customHeight="false" outlineLevel="0" collapsed="false">
      <c r="A70" s="3" t="s">
        <v>162</v>
      </c>
      <c r="B70" s="10"/>
      <c r="C70" s="10"/>
      <c r="D70" s="10"/>
      <c r="E70" s="10"/>
      <c r="F70" s="10"/>
      <c r="G70" s="10"/>
      <c r="H70" s="10"/>
    </row>
    <row r="71" customFormat="false" ht="15" hidden="false" customHeight="false" outlineLevel="0" collapsed="false">
      <c r="A71" s="4" t="s">
        <v>163</v>
      </c>
      <c r="D71" s="25" t="n">
        <f aca="false">D34-D37-D38-D39-D40</f>
        <v>0.580901728</v>
      </c>
      <c r="E71" s="25" t="n">
        <f aca="false">E34-E37-E38-E39-E40</f>
        <v>2.24874976</v>
      </c>
      <c r="F71" s="25" t="n">
        <f aca="false">F34-F37-F38-F39-F40</f>
        <v>5.060670558</v>
      </c>
      <c r="G71" s="25" t="n">
        <f aca="false">G34-G37-G38-G39-G40</f>
        <v>8.2629931875</v>
      </c>
      <c r="H71" s="25" t="n">
        <f aca="false">H34-H37-H38-H39-H40</f>
        <v>11.397962025375</v>
      </c>
    </row>
    <row r="72" customFormat="false" ht="15" hidden="false" customHeight="false" outlineLevel="0" collapsed="false">
      <c r="A72" s="4" t="s">
        <v>164</v>
      </c>
      <c r="D72" s="27" t="n">
        <f aca="false">IFERROR(D71/D27,0)</f>
        <v>0.205492177948834</v>
      </c>
      <c r="E72" s="27" t="n">
        <f aca="false">IFERROR(E71/E27,0)</f>
        <v>0.236198323635065</v>
      </c>
      <c r="F72" s="27" t="n">
        <f aca="false">IFERROR(F71/F27,0)</f>
        <v>0.26624206288162</v>
      </c>
      <c r="G72" s="27" t="n">
        <f aca="false">IFERROR(G71/G27,0)</f>
        <v>0.282818196403589</v>
      </c>
      <c r="H72" s="27" t="n">
        <f aca="false">IFERROR(H71/H27,0)</f>
        <v>0.296222222383571</v>
      </c>
    </row>
    <row r="73" customFormat="false" ht="15" hidden="false" customHeight="false" outlineLevel="0" collapsed="false">
      <c r="A73" s="4" t="s">
        <v>165</v>
      </c>
      <c r="D73" s="25" t="n">
        <f aca="false">D41+D42</f>
        <v>1.9</v>
      </c>
      <c r="E73" s="25" t="n">
        <f aca="false">E41+E42</f>
        <v>2.47</v>
      </c>
      <c r="F73" s="25" t="n">
        <f aca="false">F41+F42</f>
        <v>2.9925</v>
      </c>
      <c r="G73" s="25" t="n">
        <f aca="false">G41+G42</f>
        <v>3.325</v>
      </c>
      <c r="H73" s="25" t="n">
        <f aca="false">H41+H42</f>
        <v>3.5625</v>
      </c>
    </row>
    <row r="74" customFormat="false" ht="15" hidden="false" customHeight="false" outlineLevel="0" collapsed="false">
      <c r="A74" s="4" t="s">
        <v>166</v>
      </c>
      <c r="D74" s="25" t="n">
        <f aca="false">IF(D72&gt;0,D73/D72,0)</f>
        <v>9.24609403124378</v>
      </c>
      <c r="E74" s="25" t="n">
        <f aca="false">IF(E72&gt;0,E73/E72,0)</f>
        <v>10.4573138453609</v>
      </c>
      <c r="F74" s="25" t="n">
        <f aca="false">IF(F72&gt;0,F73/F72,0)</f>
        <v>11.2397716860035</v>
      </c>
      <c r="G74" s="25" t="n">
        <f aca="false">IF(G72&gt;0,G73/G72,0)</f>
        <v>11.7566692747561</v>
      </c>
      <c r="H74" s="25" t="n">
        <f aca="false">IF(H72&gt;0,H73/H72,0)</f>
        <v>12.0264441044771</v>
      </c>
    </row>
    <row r="75" customFormat="false" ht="15" hidden="false" customHeight="false" outlineLevel="0" collapsed="false">
      <c r="A75" s="4" t="s">
        <v>167</v>
      </c>
      <c r="D75" s="27" t="n">
        <f aca="false">IF(D27&gt;0,1-D74/D27,0)</f>
        <v>-2.27077698071506</v>
      </c>
      <c r="E75" s="27" t="n">
        <f aca="false">IF(E27&gt;0,1-E74/E27,0)</f>
        <v>-0.0983881105561513</v>
      </c>
      <c r="F75" s="27" t="n">
        <f aca="false">IF(F27&gt;0,1-F74/F27,0)</f>
        <v>0.40867520110168</v>
      </c>
      <c r="G75" s="27" t="n">
        <f aca="false">IF(G27&gt;0,1-G74/G27,0)</f>
        <v>0.597603444109097</v>
      </c>
      <c r="H75" s="27" t="n">
        <f aca="false">IF(H27&gt;0,1-H74/H27,0)</f>
        <v>0.687444124478666</v>
      </c>
    </row>
    <row r="76" customFormat="false" ht="15" hidden="false" customHeight="false" outlineLevel="0" collapsed="false">
      <c r="A76" s="3" t="s">
        <v>60</v>
      </c>
      <c r="B76" s="10"/>
      <c r="C76" s="10"/>
      <c r="D76" s="10"/>
      <c r="E76" s="10"/>
      <c r="F76" s="10"/>
      <c r="G76" s="10"/>
      <c r="H76" s="10"/>
    </row>
    <row r="77" customFormat="false" ht="15" hidden="false" customHeight="false" outlineLevel="0" collapsed="false">
      <c r="A77" s="4" t="s">
        <v>168</v>
      </c>
      <c r="D77" s="5" t="n">
        <f aca="false">Assumptions!$B$18*(1-Assumptions!$B$23*$B$9-Assumptions!$B$19)</f>
        <v>19.175</v>
      </c>
      <c r="E77" s="5" t="n">
        <f aca="false">Assumptions!$B$18*(1-Assumptions!$B$23*$B$9-Assumptions!$B$19)</f>
        <v>19.175</v>
      </c>
      <c r="F77" s="5" t="n">
        <f aca="false">Assumptions!$B$18*(1-Assumptions!$B$23*$B$9-Assumptions!$B$19)</f>
        <v>19.175</v>
      </c>
      <c r="G77" s="5" t="n">
        <f aca="false">Assumptions!$B$18*(1-Assumptions!$B$23*$B$9-Assumptions!$B$19)</f>
        <v>19.175</v>
      </c>
      <c r="H77" s="5" t="n">
        <f aca="false">Assumptions!$B$18*(1-Assumptions!$B$23*$B$9-Assumptions!$B$19)</f>
        <v>19.175</v>
      </c>
    </row>
    <row r="78" customFormat="false" ht="15" hidden="false" customHeight="false" outlineLevel="0" collapsed="false">
      <c r="A78" s="4" t="s">
        <v>169</v>
      </c>
      <c r="D78" s="5" t="n">
        <f aca="false">D77*Assumptions!$B$17/(1-Assumptions!$B$16)</f>
        <v>111.563636363636</v>
      </c>
      <c r="E78" s="5" t="n">
        <f aca="false">E77*Assumptions!$B$17/(1-Assumptions!$B$16)</f>
        <v>111.563636363636</v>
      </c>
      <c r="F78" s="5" t="n">
        <f aca="false">F77*Assumptions!$B$17/(1-Assumptions!$B$16)</f>
        <v>111.563636363636</v>
      </c>
      <c r="G78" s="5" t="n">
        <f aca="false">G77*Assumptions!$B$17/(1-Assumptions!$B$16)</f>
        <v>111.563636363636</v>
      </c>
      <c r="H78" s="5" t="n">
        <f aca="false">H77*Assumptions!$B$17/(1-Assumptions!$B$16)</f>
        <v>111.563636363636</v>
      </c>
    </row>
    <row r="79" customFormat="false" ht="15" hidden="false" customHeight="false" outlineLevel="0" collapsed="false">
      <c r="A79" s="4" t="s">
        <v>170</v>
      </c>
      <c r="D79" s="5" t="n">
        <f aca="false">Assumptions!D$37*$B$8</f>
        <v>28.8</v>
      </c>
      <c r="E79" s="5" t="n">
        <f aca="false">Assumptions!E$37*$B$8</f>
        <v>27</v>
      </c>
      <c r="F79" s="5" t="n">
        <f aca="false">Assumptions!F$37*$B$8</f>
        <v>25.2</v>
      </c>
      <c r="G79" s="5" t="n">
        <f aca="false">Assumptions!G$37*$B$8</f>
        <v>23.4</v>
      </c>
      <c r="H79" s="5" t="n">
        <f aca="false">Assumptions!H$37*$B$8</f>
        <v>22.5</v>
      </c>
    </row>
    <row r="80" customFormat="false" ht="15" hidden="false" customHeight="false" outlineLevel="0" collapsed="false">
      <c r="A80" s="4" t="s">
        <v>171</v>
      </c>
      <c r="D80" s="29" t="n">
        <f aca="false">IFERROR(D78/D79,0)</f>
        <v>3.87373737373737</v>
      </c>
      <c r="E80" s="29" t="n">
        <f aca="false">IFERROR(E78/E79,0)</f>
        <v>4.13198653198653</v>
      </c>
      <c r="F80" s="29" t="n">
        <f aca="false">IFERROR(F78/F79,0)</f>
        <v>4.42712842712843</v>
      </c>
      <c r="G80" s="29" t="n">
        <f aca="false">IFERROR(G78/G79,0)</f>
        <v>4.76767676767677</v>
      </c>
      <c r="H80" s="29" t="n">
        <f aca="false">IFERROR(H78/H79,0)</f>
        <v>4.95838383838384</v>
      </c>
    </row>
    <row r="82" customFormat="false" ht="15" hidden="false" customHeight="false" outlineLevel="0" collapsed="false">
      <c r="A82" s="3" t="s">
        <v>172</v>
      </c>
      <c r="B82" s="10"/>
      <c r="C82" s="10"/>
      <c r="D82" s="10"/>
      <c r="E82" s="10"/>
      <c r="F82" s="10"/>
      <c r="G82" s="10"/>
      <c r="H82" s="10"/>
    </row>
    <row r="83" customFormat="false" ht="15" hidden="false" customHeight="false" outlineLevel="0" collapsed="false">
      <c r="A83" s="11" t="s">
        <v>173</v>
      </c>
      <c r="B83" s="26" t="n">
        <f aca="false">SUM(C63:H63)</f>
        <v>-1.72724518987612</v>
      </c>
    </row>
    <row r="84" customFormat="false" ht="15" hidden="false" customHeight="false" outlineLevel="0" collapsed="false">
      <c r="A84" s="11" t="s">
        <v>174</v>
      </c>
      <c r="B84" s="26" t="n">
        <f aca="false">H64*H62</f>
        <v>28.0495815769156</v>
      </c>
    </row>
    <row r="85" customFormat="false" ht="15" hidden="false" customHeight="false" outlineLevel="0" collapsed="false">
      <c r="A85" s="11" t="s">
        <v>175</v>
      </c>
      <c r="B85" s="26" t="n">
        <f aca="false">B83+B84</f>
        <v>26.3223363870395</v>
      </c>
    </row>
    <row r="86" customFormat="false" ht="15" hidden="false" customHeight="false" outlineLevel="0" collapsed="false">
      <c r="A86" s="11" t="s">
        <v>10</v>
      </c>
      <c r="B86" s="30" t="n">
        <f aca="false">IFERROR(IRR(C65:H65),"n/m")</f>
        <v>0.703935399290663</v>
      </c>
    </row>
    <row r="87" customFormat="false" ht="15" hidden="false" customHeight="false" outlineLevel="0" collapsed="false">
      <c r="A87" s="11" t="s">
        <v>176</v>
      </c>
      <c r="B87" s="30" t="n">
        <f aca="false">IFERROR(IRR(C60:H60),"n/m")</f>
        <v>0.0133232319420405</v>
      </c>
    </row>
    <row r="88" customFormat="false" ht="15" hidden="false" customHeight="false" outlineLevel="0" collapsed="false">
      <c r="A88" s="11" t="s">
        <v>177</v>
      </c>
      <c r="B88" s="26" t="n">
        <f aca="false">-MIN(C61:H61)</f>
        <v>6.268438512</v>
      </c>
    </row>
    <row r="89" customFormat="false" ht="15" hidden="false" customHeight="false" outlineLevel="0" collapsed="false">
      <c r="A89" s="11" t="s">
        <v>178</v>
      </c>
      <c r="B89" s="31" t="n">
        <f aca="false">IF(MAX(D68:H68)=0,"&gt;Y5",MAX(D68:H68))</f>
        <v>5</v>
      </c>
    </row>
    <row r="90" customFormat="false" ht="15" hidden="false" customHeight="false" outlineLevel="0" collapsed="false">
      <c r="A90" s="11" t="s">
        <v>179</v>
      </c>
      <c r="B90" s="31" t="n">
        <f aca="false">IF(MAX(D69:H69)=0,"&gt;Y5",MAX(D69:H69))</f>
        <v>3</v>
      </c>
    </row>
    <row r="91" customFormat="false" ht="15" hidden="false" customHeight="false" outlineLevel="0" collapsed="false">
      <c r="A91" s="11" t="s">
        <v>180</v>
      </c>
      <c r="B91" s="26" t="n">
        <f aca="false">H27</f>
        <v>38.47774125</v>
      </c>
    </row>
    <row r="92" customFormat="false" ht="15" hidden="false" customHeight="false" outlineLevel="0" collapsed="false">
      <c r="A92" s="11" t="s">
        <v>13</v>
      </c>
      <c r="B92" s="30" t="n">
        <f aca="false">H50</f>
        <v>0.187003233340133</v>
      </c>
    </row>
    <row r="93" customFormat="false" ht="15" hidden="false" customHeight="false" outlineLevel="0" collapsed="false">
      <c r="A93" s="11" t="s">
        <v>181</v>
      </c>
      <c r="B93" s="30" t="n">
        <f aca="false">IFERROR(B84/B85,0)</f>
        <v>1.06561899234471</v>
      </c>
    </row>
    <row r="94" customFormat="false" ht="15" hidden="false" customHeight="false" outlineLevel="0" collapsed="false">
      <c r="A94" s="11" t="s">
        <v>182</v>
      </c>
      <c r="B94" s="26" t="n">
        <f aca="false">B83+H66*H62</f>
        <v>20.503012710929</v>
      </c>
    </row>
    <row r="95" customFormat="false" ht="15" hidden="false" customHeight="false" outlineLevel="0" collapsed="false">
      <c r="A95" s="11" t="s">
        <v>183</v>
      </c>
      <c r="B95" s="30" t="n">
        <f aca="false">IFERROR(IRR(C67:H67),"n/m")</f>
        <v>0.626800687368996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8" min="2" style="0" width="12"/>
  </cols>
  <sheetData>
    <row r="1" customFormat="false" ht="17.35" hidden="false" customHeight="false" outlineLevel="0" collapsed="false">
      <c r="A1" s="1" t="s">
        <v>186</v>
      </c>
    </row>
    <row r="2" customFormat="false" ht="15" hidden="false" customHeight="false" outlineLevel="0" collapsed="false">
      <c r="A2" s="2" t="s">
        <v>187</v>
      </c>
    </row>
    <row r="4" customFormat="false" ht="15" hidden="false" customHeight="false" outlineLevel="0" collapsed="false">
      <c r="A4" s="3" t="s">
        <v>35</v>
      </c>
      <c r="B4" s="10"/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</row>
    <row r="5" customFormat="false" ht="15" hidden="false" customHeight="false" outlineLevel="0" collapsed="false">
      <c r="A5" s="4" t="s">
        <v>188</v>
      </c>
      <c r="D5" s="13" t="n">
        <v>0.35</v>
      </c>
      <c r="E5" s="13" t="n">
        <v>0.55</v>
      </c>
      <c r="F5" s="13" t="n">
        <v>0.75</v>
      </c>
      <c r="G5" s="13" t="n">
        <v>0.9</v>
      </c>
      <c r="H5" s="13" t="n">
        <v>1</v>
      </c>
    </row>
    <row r="6" customFormat="false" ht="15" hidden="false" customHeight="false" outlineLevel="0" collapsed="false">
      <c r="A6" s="4" t="s">
        <v>28</v>
      </c>
      <c r="C6" s="25" t="n">
        <v>0</v>
      </c>
      <c r="D6" s="5" t="n">
        <f aca="false">Assumptions!D$44*D5</f>
        <v>0.8520922749654</v>
      </c>
      <c r="E6" s="5" t="n">
        <f aca="false">Assumptions!E$44*E5</f>
        <v>3.99290440048787</v>
      </c>
      <c r="F6" s="5" t="n">
        <f aca="false">Assumptions!F$44*F5</f>
        <v>11.1833733151976</v>
      </c>
      <c r="G6" s="5" t="n">
        <f aca="false">Assumptions!G$44*G5</f>
        <v>20.6445071398548</v>
      </c>
      <c r="H6" s="5" t="n">
        <f aca="false">Assumptions!H$44*H5</f>
        <v>30.0668719370192</v>
      </c>
    </row>
    <row r="7" customFormat="false" ht="15" hidden="false" customHeight="false" outlineLevel="0" collapsed="false">
      <c r="A7" s="4" t="s">
        <v>189</v>
      </c>
      <c r="B7" s="13" t="n">
        <v>0.46</v>
      </c>
    </row>
    <row r="8" customFormat="false" ht="15" hidden="false" customHeight="false" outlineLevel="0" collapsed="false">
      <c r="A8" s="4" t="s">
        <v>29</v>
      </c>
      <c r="D8" s="25" t="n">
        <f aca="false">D6*$B$7</f>
        <v>0.391962446484084</v>
      </c>
      <c r="E8" s="25" t="n">
        <f aca="false">E6*$B$7</f>
        <v>1.83673602422442</v>
      </c>
      <c r="F8" s="25" t="n">
        <f aca="false">F6*$B$7</f>
        <v>5.14435172499087</v>
      </c>
      <c r="G8" s="25" t="n">
        <f aca="false">G6*$B$7</f>
        <v>9.4964732843332</v>
      </c>
      <c r="H8" s="25" t="n">
        <f aca="false">H6*$B$7</f>
        <v>13.8307610910288</v>
      </c>
    </row>
    <row r="9" customFormat="false" ht="15" hidden="false" customHeight="false" outlineLevel="0" collapsed="false">
      <c r="A9" s="4" t="s">
        <v>190</v>
      </c>
      <c r="B9" s="13" t="n">
        <v>0.24</v>
      </c>
    </row>
    <row r="10" customFormat="false" ht="15" hidden="false" customHeight="false" outlineLevel="0" collapsed="false">
      <c r="A10" s="4" t="s">
        <v>191</v>
      </c>
      <c r="D10" s="16" t="n">
        <v>4.5</v>
      </c>
      <c r="E10" s="16" t="n">
        <v>4.8</v>
      </c>
      <c r="F10" s="16" t="n">
        <v>5.1</v>
      </c>
      <c r="G10" s="16" t="n">
        <v>5.3</v>
      </c>
      <c r="H10" s="16" t="n">
        <v>5.5</v>
      </c>
    </row>
    <row r="11" customFormat="false" ht="15" hidden="false" customHeight="false" outlineLevel="0" collapsed="false">
      <c r="A11" s="4" t="s">
        <v>192</v>
      </c>
      <c r="C11" s="16" t="n">
        <v>2</v>
      </c>
    </row>
    <row r="12" customFormat="false" ht="15" hidden="false" customHeight="false" outlineLevel="0" collapsed="false">
      <c r="A12" s="4" t="s">
        <v>30</v>
      </c>
      <c r="C12" s="25" t="n">
        <f aca="false">-C11</f>
        <v>-2</v>
      </c>
      <c r="D12" s="25" t="n">
        <f aca="false">D8-D6*$B$9-D10</f>
        <v>-4.31253969950761</v>
      </c>
      <c r="E12" s="25" t="n">
        <f aca="false">E8-E6*$B$9-E10</f>
        <v>-3.92156103189267</v>
      </c>
      <c r="F12" s="25" t="n">
        <f aca="false">F8-F6*$B$9-F10</f>
        <v>-2.63965787065654</v>
      </c>
      <c r="G12" s="25" t="n">
        <f aca="false">G8-G6*$B$9-G10</f>
        <v>-0.758208429231949</v>
      </c>
      <c r="H12" s="25" t="n">
        <f aca="false">H8-H6*$B$9-H10</f>
        <v>1.11471182614423</v>
      </c>
    </row>
    <row r="13" customFormat="false" ht="15" hidden="false" customHeight="false" outlineLevel="0" collapsed="false">
      <c r="A13" s="4" t="s">
        <v>149</v>
      </c>
      <c r="D13" s="5" t="n">
        <f aca="false">MAX(D12,0)*Assumptions!$B$9</f>
        <v>0</v>
      </c>
      <c r="E13" s="5" t="n">
        <f aca="false">MAX(E12,0)*Assumptions!$B$9</f>
        <v>0</v>
      </c>
      <c r="F13" s="5" t="n">
        <f aca="false">MAX(F12,0)*Assumptions!$B$9</f>
        <v>0</v>
      </c>
      <c r="G13" s="5" t="n">
        <f aca="false">MAX(G12,0)*Assumptions!$B$9</f>
        <v>0</v>
      </c>
      <c r="H13" s="5" t="n">
        <f aca="false">MAX(H12,0)*Assumptions!$B$9</f>
        <v>0.267530838274614</v>
      </c>
    </row>
    <row r="14" customFormat="false" ht="15" hidden="false" customHeight="false" outlineLevel="0" collapsed="false">
      <c r="A14" s="4" t="s">
        <v>141</v>
      </c>
      <c r="C14" s="16" t="n">
        <v>3</v>
      </c>
      <c r="D14" s="16" t="n">
        <v>1</v>
      </c>
      <c r="E14" s="16" t="n">
        <v>1</v>
      </c>
      <c r="F14" s="16" t="n">
        <v>0.8</v>
      </c>
      <c r="G14" s="16" t="n">
        <v>0.8</v>
      </c>
      <c r="H14" s="16" t="n">
        <v>0.8</v>
      </c>
    </row>
    <row r="15" customFormat="false" ht="15" hidden="false" customHeight="false" outlineLevel="0" collapsed="false">
      <c r="A15" s="4" t="s">
        <v>152</v>
      </c>
      <c r="D15" s="5" t="n">
        <f aca="false">(D6-C6)*Assumptions!$B$10</f>
        <v>0.12781384124481</v>
      </c>
      <c r="E15" s="5" t="n">
        <f aca="false">(E6-D6)*Assumptions!$B$10</f>
        <v>0.47112181882837</v>
      </c>
      <c r="F15" s="5" t="n">
        <f aca="false">(F6-E6)*Assumptions!$B$10</f>
        <v>1.07857033720645</v>
      </c>
      <c r="G15" s="5" t="n">
        <f aca="false">(G6-F6)*Assumptions!$B$10</f>
        <v>1.41917007369858</v>
      </c>
      <c r="H15" s="5" t="n">
        <f aca="false">(H6-G6)*Assumptions!$B$10</f>
        <v>1.41335471957466</v>
      </c>
    </row>
    <row r="16" customFormat="false" ht="15" hidden="false" customHeight="false" outlineLevel="0" collapsed="false">
      <c r="A16" s="4" t="s">
        <v>193</v>
      </c>
      <c r="C16" s="25" t="n">
        <f aca="false">C12-C14</f>
        <v>-5</v>
      </c>
      <c r="D16" s="25" t="n">
        <f aca="false">D12-D13-D14-D15</f>
        <v>-5.44035354075242</v>
      </c>
      <c r="E16" s="25" t="n">
        <f aca="false">E12-E13-E14-E15</f>
        <v>-5.39268285072104</v>
      </c>
      <c r="F16" s="25" t="n">
        <f aca="false">F12-F13-F14-F15</f>
        <v>-4.51822820786299</v>
      </c>
      <c r="G16" s="25" t="n">
        <f aca="false">G12-G13-G14-G15</f>
        <v>-2.97737850293053</v>
      </c>
      <c r="H16" s="25" t="n">
        <f aca="false">H12-H13-H14-H15</f>
        <v>-1.36617373170505</v>
      </c>
    </row>
    <row r="17" customFormat="false" ht="15" hidden="false" customHeight="false" outlineLevel="0" collapsed="false">
      <c r="A17" s="4" t="s">
        <v>194</v>
      </c>
      <c r="B17" s="13" t="n">
        <v>1</v>
      </c>
    </row>
    <row r="18" customFormat="false" ht="15" hidden="false" customHeight="false" outlineLevel="0" collapsed="false">
      <c r="A18" s="4" t="s">
        <v>195</v>
      </c>
      <c r="C18" s="25" t="n">
        <f aca="false">C16*$B$17</f>
        <v>-5</v>
      </c>
      <c r="D18" s="25" t="n">
        <f aca="false">D16*$B$17</f>
        <v>-5.44035354075242</v>
      </c>
      <c r="E18" s="25" t="n">
        <f aca="false">E16*$B$17</f>
        <v>-5.39268285072104</v>
      </c>
      <c r="F18" s="25" t="n">
        <f aca="false">F16*$B$17</f>
        <v>-4.51822820786299</v>
      </c>
      <c r="G18" s="25" t="n">
        <f aca="false">G16*$B$17</f>
        <v>-2.97737850293053</v>
      </c>
      <c r="H18" s="25" t="n">
        <f aca="false">H16*$B$17</f>
        <v>-1.36617373170505</v>
      </c>
    </row>
    <row r="19" customFormat="false" ht="15" hidden="false" customHeight="false" outlineLevel="0" collapsed="false">
      <c r="A19" s="4" t="s">
        <v>196</v>
      </c>
      <c r="C19" s="5" t="n">
        <f aca="false">C18/(1+Assumptions!$B$7)^0</f>
        <v>-5</v>
      </c>
      <c r="D19" s="5" t="n">
        <f aca="false">D18/(1+Assumptions!$B$7)^1</f>
        <v>-4.85745851852895</v>
      </c>
      <c r="E19" s="5" t="n">
        <f aca="false">E18/(1+Assumptions!$B$7)^2</f>
        <v>-4.29901375216919</v>
      </c>
      <c r="F19" s="5" t="n">
        <f aca="false">F18/(1+Assumptions!$B$7)^3</f>
        <v>-3.21598559347026</v>
      </c>
      <c r="G19" s="5" t="n">
        <f aca="false">G18/(1+Assumptions!$B$7)^4</f>
        <v>-1.89217786486626</v>
      </c>
      <c r="H19" s="5" t="n">
        <f aca="false">H18/(1+Assumptions!$B$7)^5</f>
        <v>-0.775203664946743</v>
      </c>
    </row>
    <row r="20" customFormat="false" ht="15" hidden="false" customHeight="false" outlineLevel="0" collapsed="false">
      <c r="A20" s="4" t="s">
        <v>197</v>
      </c>
      <c r="H20" s="5" t="n">
        <f aca="false">MAX(H18,0)*(1+Assumptions!$B$8)/(Assumptions!$B$7-Assumptions!$B$8)</f>
        <v>0</v>
      </c>
    </row>
    <row r="21" customFormat="false" ht="15" hidden="false" customHeight="false" outlineLevel="0" collapsed="false">
      <c r="A21" s="11" t="s">
        <v>198</v>
      </c>
      <c r="B21" s="32" t="n">
        <f aca="false">SUM(C19:H19)+H20/(1+Assumptions!$B$7)^5</f>
        <v>-20.0398393939814</v>
      </c>
    </row>
    <row r="22" customFormat="false" ht="15" hidden="false" customHeight="false" outlineLevel="0" collapsed="false">
      <c r="A22" s="4" t="s">
        <v>199</v>
      </c>
      <c r="B22" s="25" t="n">
        <f aca="false">SUM(C19:H19)</f>
        <v>-20.0398393939814</v>
      </c>
    </row>
    <row r="23" customFormat="false" ht="15" hidden="false" customHeight="false" outlineLevel="0" collapsed="false">
      <c r="A23" s="4" t="s">
        <v>14</v>
      </c>
      <c r="B23" s="25" t="n">
        <f aca="false">-MIN(C24:H24)</f>
        <v>24.694816833972</v>
      </c>
    </row>
    <row r="24" customFormat="false" ht="15" hidden="false" customHeight="false" outlineLevel="0" collapsed="false">
      <c r="A24" s="4" t="s">
        <v>200</v>
      </c>
      <c r="C24" s="25" t="n">
        <f aca="false">C18</f>
        <v>-5</v>
      </c>
      <c r="D24" s="25" t="n">
        <f aca="false">C24+D18</f>
        <v>-10.4403535407524</v>
      </c>
      <c r="E24" s="25" t="n">
        <f aca="false">D24+E18</f>
        <v>-15.8330363914735</v>
      </c>
      <c r="F24" s="25" t="n">
        <f aca="false">E24+F18</f>
        <v>-20.3512645993365</v>
      </c>
      <c r="G24" s="25" t="n">
        <f aca="false">F24+G18</f>
        <v>-23.328643102267</v>
      </c>
      <c r="H24" s="25" t="n">
        <f aca="false">G24+H18</f>
        <v>-24.694816833972</v>
      </c>
    </row>
    <row r="25" customFormat="false" ht="15" hidden="false" customHeight="false" outlineLevel="0" collapsed="false">
      <c r="A25" s="4" t="s">
        <v>12</v>
      </c>
      <c r="B25" s="25" t="n">
        <f aca="false">H6</f>
        <v>30.0668719370192</v>
      </c>
    </row>
    <row r="26" customFormat="false" ht="15" hidden="false" customHeight="false" outlineLevel="0" collapsed="false">
      <c r="A26" s="4" t="s">
        <v>201</v>
      </c>
      <c r="B26" s="27" t="n">
        <f aca="false">IFERROR(H12/H6,0)</f>
        <v>0.0370744195963984</v>
      </c>
    </row>
    <row r="28" customFormat="false" ht="15" hidden="false" customHeight="false" outlineLevel="0" collapsed="false">
      <c r="A28" s="3" t="s">
        <v>36</v>
      </c>
      <c r="B28" s="10"/>
      <c r="C28" s="3" t="s">
        <v>22</v>
      </c>
      <c r="D28" s="3" t="s">
        <v>23</v>
      </c>
      <c r="E28" s="3" t="s">
        <v>24</v>
      </c>
      <c r="F28" s="3" t="s">
        <v>25</v>
      </c>
      <c r="G28" s="3" t="s">
        <v>26</v>
      </c>
      <c r="H28" s="3" t="s">
        <v>27</v>
      </c>
    </row>
    <row r="29" customFormat="false" ht="15" hidden="false" customHeight="false" outlineLevel="0" collapsed="false">
      <c r="A29" s="4" t="s">
        <v>188</v>
      </c>
      <c r="D29" s="13" t="n">
        <v>0.8</v>
      </c>
      <c r="E29" s="13" t="n">
        <v>0.9</v>
      </c>
      <c r="F29" s="13" t="n">
        <v>0.95</v>
      </c>
      <c r="G29" s="13" t="n">
        <v>0.95</v>
      </c>
      <c r="H29" s="13" t="n">
        <v>0.95</v>
      </c>
    </row>
    <row r="30" customFormat="false" ht="15" hidden="false" customHeight="false" outlineLevel="0" collapsed="false">
      <c r="A30" s="4" t="s">
        <v>28</v>
      </c>
      <c r="C30" s="25" t="n">
        <v>0</v>
      </c>
      <c r="D30" s="5" t="n">
        <f aca="false">Assumptions!D$44*D29</f>
        <v>1.9476394856352</v>
      </c>
      <c r="E30" s="5" t="n">
        <f aca="false">Assumptions!E$44*E29</f>
        <v>6.53384356443469</v>
      </c>
      <c r="F30" s="5" t="n">
        <f aca="false">Assumptions!F$44*F29</f>
        <v>14.1656061992502</v>
      </c>
      <c r="G30" s="5" t="n">
        <f aca="false">Assumptions!G$44*G29</f>
        <v>21.79142420318</v>
      </c>
      <c r="H30" s="5" t="n">
        <f aca="false">Assumptions!H$44*H29</f>
        <v>28.5635283401682</v>
      </c>
    </row>
    <row r="31" customFormat="false" ht="15" hidden="false" customHeight="false" outlineLevel="0" collapsed="false">
      <c r="A31" s="4" t="s">
        <v>189</v>
      </c>
      <c r="B31" s="13" t="n">
        <v>0.36</v>
      </c>
    </row>
    <row r="32" customFormat="false" ht="15" hidden="false" customHeight="false" outlineLevel="0" collapsed="false">
      <c r="A32" s="4" t="s">
        <v>29</v>
      </c>
      <c r="D32" s="25" t="n">
        <f aca="false">D30*$B$31</f>
        <v>0.701150214828672</v>
      </c>
      <c r="E32" s="25" t="n">
        <f aca="false">E30*$B$31</f>
        <v>2.35218368319649</v>
      </c>
      <c r="F32" s="25" t="n">
        <f aca="false">F30*$B$31</f>
        <v>5.09961823173008</v>
      </c>
      <c r="G32" s="25" t="n">
        <f aca="false">G30*$B$31</f>
        <v>7.84491271314481</v>
      </c>
      <c r="H32" s="25" t="n">
        <f aca="false">H30*$B$31</f>
        <v>10.2828702024606</v>
      </c>
    </row>
    <row r="33" customFormat="false" ht="15" hidden="false" customHeight="false" outlineLevel="0" collapsed="false">
      <c r="A33" s="4" t="s">
        <v>190</v>
      </c>
      <c r="B33" s="13" t="n">
        <v>0.18</v>
      </c>
    </row>
    <row r="34" customFormat="false" ht="15" hidden="false" customHeight="false" outlineLevel="0" collapsed="false">
      <c r="A34" s="4" t="s">
        <v>191</v>
      </c>
      <c r="D34" s="16" t="n">
        <v>1.8</v>
      </c>
      <c r="E34" s="16" t="n">
        <v>2</v>
      </c>
      <c r="F34" s="16" t="n">
        <v>2.1</v>
      </c>
      <c r="G34" s="16" t="n">
        <v>2.2</v>
      </c>
      <c r="H34" s="16" t="n">
        <v>2.2</v>
      </c>
    </row>
    <row r="35" customFormat="false" ht="15" hidden="false" customHeight="false" outlineLevel="0" collapsed="false">
      <c r="A35" s="4" t="s">
        <v>192</v>
      </c>
      <c r="C35" s="16" t="n">
        <v>1</v>
      </c>
    </row>
    <row r="36" customFormat="false" ht="15" hidden="false" customHeight="false" outlineLevel="0" collapsed="false">
      <c r="A36" s="4" t="s">
        <v>30</v>
      </c>
      <c r="C36" s="25" t="n">
        <f aca="false">-C35</f>
        <v>-1</v>
      </c>
      <c r="D36" s="25" t="n">
        <f aca="false">D32-D30*$B$33-D34</f>
        <v>-1.44942489258566</v>
      </c>
      <c r="E36" s="25" t="n">
        <f aca="false">E32-E30*$B$33-E34</f>
        <v>-0.823908158401756</v>
      </c>
      <c r="F36" s="25" t="n">
        <f aca="false">F32-F30*$B$33-F34</f>
        <v>0.449809115865041</v>
      </c>
      <c r="G36" s="25" t="n">
        <f aca="false">G32-G30*$B$33-G34</f>
        <v>1.72245635657241</v>
      </c>
      <c r="H36" s="25" t="n">
        <f aca="false">H32-H30*$B$33-H34</f>
        <v>2.94143510123028</v>
      </c>
    </row>
    <row r="37" customFormat="false" ht="15" hidden="false" customHeight="false" outlineLevel="0" collapsed="false">
      <c r="A37" s="4" t="s">
        <v>149</v>
      </c>
      <c r="D37" s="5" t="n">
        <f aca="false">MAX(D36,0)*Assumptions!$B$9</f>
        <v>0</v>
      </c>
      <c r="E37" s="5" t="n">
        <f aca="false">MAX(E36,0)*Assumptions!$B$9</f>
        <v>0</v>
      </c>
      <c r="F37" s="5" t="n">
        <f aca="false">MAX(F36,0)*Assumptions!$B$9</f>
        <v>0.10795418780761</v>
      </c>
      <c r="G37" s="5" t="n">
        <f aca="false">MAX(G36,0)*Assumptions!$B$9</f>
        <v>0.413389525577377</v>
      </c>
      <c r="H37" s="5" t="n">
        <f aca="false">MAX(H36,0)*Assumptions!$B$9</f>
        <v>0.705944424295268</v>
      </c>
    </row>
    <row r="38" customFormat="false" ht="15" hidden="false" customHeight="false" outlineLevel="0" collapsed="false">
      <c r="A38" s="4" t="s">
        <v>141</v>
      </c>
      <c r="C38" s="16" t="n">
        <v>0.5</v>
      </c>
      <c r="D38" s="16" t="n">
        <v>0.3</v>
      </c>
      <c r="E38" s="16" t="n">
        <v>0.3</v>
      </c>
      <c r="F38" s="16" t="n">
        <v>0.3</v>
      </c>
      <c r="G38" s="16" t="n">
        <v>0.3</v>
      </c>
      <c r="H38" s="16" t="n">
        <v>0.3</v>
      </c>
    </row>
    <row r="39" customFormat="false" ht="15" hidden="false" customHeight="false" outlineLevel="0" collapsed="false">
      <c r="A39" s="4" t="s">
        <v>152</v>
      </c>
      <c r="D39" s="5" t="n">
        <f aca="false">(D30-C30)*Assumptions!$B$10</f>
        <v>0.29214592284528</v>
      </c>
      <c r="E39" s="5" t="n">
        <f aca="false">(E30-D30)*Assumptions!$B$10</f>
        <v>0.687930611819923</v>
      </c>
      <c r="F39" s="5" t="n">
        <f aca="false">(F30-E30)*Assumptions!$B$10</f>
        <v>1.14476439522233</v>
      </c>
      <c r="G39" s="5" t="n">
        <f aca="false">(G30-F30)*Assumptions!$B$10</f>
        <v>1.14387270058947</v>
      </c>
      <c r="H39" s="5" t="n">
        <f aca="false">(H30-G30)*Assumptions!$B$10</f>
        <v>1.01581562054823</v>
      </c>
    </row>
    <row r="40" customFormat="false" ht="15" hidden="false" customHeight="false" outlineLevel="0" collapsed="false">
      <c r="A40" s="4" t="s">
        <v>193</v>
      </c>
      <c r="C40" s="25" t="n">
        <f aca="false">C36-C38</f>
        <v>-1.5</v>
      </c>
      <c r="D40" s="25" t="n">
        <f aca="false">D36-D37-D38-D39</f>
        <v>-2.04157081543094</v>
      </c>
      <c r="E40" s="25" t="n">
        <f aca="false">E36-E37-E38-E39</f>
        <v>-1.81183877022168</v>
      </c>
      <c r="F40" s="25" t="n">
        <f aca="false">F36-F37-F38-F39</f>
        <v>-1.1029094671649</v>
      </c>
      <c r="G40" s="25" t="n">
        <f aca="false">G36-G37-G38-G39</f>
        <v>-0.134805869594442</v>
      </c>
      <c r="H40" s="25" t="n">
        <f aca="false">H36-H37-H38-H39</f>
        <v>0.919675056386784</v>
      </c>
    </row>
    <row r="41" customFormat="false" ht="15" hidden="false" customHeight="false" outlineLevel="0" collapsed="false">
      <c r="A41" s="4" t="s">
        <v>194</v>
      </c>
      <c r="B41" s="13" t="n">
        <v>1</v>
      </c>
    </row>
    <row r="42" customFormat="false" ht="15" hidden="false" customHeight="false" outlineLevel="0" collapsed="false">
      <c r="A42" s="4" t="s">
        <v>195</v>
      </c>
      <c r="C42" s="25" t="n">
        <f aca="false">C40*$B$41</f>
        <v>-1.5</v>
      </c>
      <c r="D42" s="25" t="n">
        <f aca="false">D40*$B$41</f>
        <v>-2.04157081543094</v>
      </c>
      <c r="E42" s="25" t="n">
        <f aca="false">E40*$B$41</f>
        <v>-1.81183877022168</v>
      </c>
      <c r="F42" s="25" t="n">
        <f aca="false">F40*$B$41</f>
        <v>-1.1029094671649</v>
      </c>
      <c r="G42" s="25" t="n">
        <f aca="false">G40*$B$41</f>
        <v>-0.134805869594442</v>
      </c>
      <c r="H42" s="25" t="n">
        <f aca="false">H40*$B$41</f>
        <v>0.919675056386784</v>
      </c>
    </row>
    <row r="43" customFormat="false" ht="15" hidden="false" customHeight="false" outlineLevel="0" collapsed="false">
      <c r="A43" s="4" t="s">
        <v>196</v>
      </c>
      <c r="C43" s="5" t="n">
        <f aca="false">C42/(1+Assumptions!$B$7)^0</f>
        <v>-1.5</v>
      </c>
      <c r="D43" s="5" t="n">
        <f aca="false">D42/(1+Assumptions!$B$7)^1</f>
        <v>-1.8228310852062</v>
      </c>
      <c r="E43" s="5" t="n">
        <f aca="false">E42/(1+Assumptions!$B$7)^2</f>
        <v>-1.44438677473029</v>
      </c>
      <c r="F43" s="5" t="n">
        <f aca="false">F42/(1+Assumptions!$B$7)^3</f>
        <v>-0.785029173854389</v>
      </c>
      <c r="G43" s="5" t="n">
        <f aca="false">G42/(1+Assumptions!$B$7)^4</f>
        <v>-0.0856715672023522</v>
      </c>
      <c r="H43" s="5" t="n">
        <f aca="false">H42/(1+Assumptions!$B$7)^5</f>
        <v>0.521848325528379</v>
      </c>
    </row>
    <row r="44" customFormat="false" ht="15" hidden="false" customHeight="false" outlineLevel="0" collapsed="false">
      <c r="A44" s="4" t="s">
        <v>197</v>
      </c>
      <c r="H44" s="5" t="n">
        <f aca="false">MAX(H42,0)*(1+Assumptions!$B$8)/(Assumptions!$B$7-Assumptions!$B$8)</f>
        <v>10.5251700897599</v>
      </c>
    </row>
    <row r="45" customFormat="false" ht="15" hidden="false" customHeight="false" outlineLevel="0" collapsed="false">
      <c r="A45" s="11" t="s">
        <v>198</v>
      </c>
      <c r="B45" s="32" t="n">
        <f aca="false">SUM(C43:H43)+H44/(1+Assumptions!$B$7)^5</f>
        <v>0.856193894471032</v>
      </c>
    </row>
    <row r="46" customFormat="false" ht="15" hidden="false" customHeight="false" outlineLevel="0" collapsed="false">
      <c r="A46" s="4" t="s">
        <v>199</v>
      </c>
      <c r="B46" s="25" t="n">
        <f aca="false">SUM(C43:H43)</f>
        <v>-5.11607027546486</v>
      </c>
    </row>
    <row r="47" customFormat="false" ht="15" hidden="false" customHeight="false" outlineLevel="0" collapsed="false">
      <c r="A47" s="4" t="s">
        <v>14</v>
      </c>
      <c r="B47" s="25" t="n">
        <f aca="false">-MIN(C48:H48)</f>
        <v>6.59112492241197</v>
      </c>
    </row>
    <row r="48" customFormat="false" ht="15" hidden="false" customHeight="false" outlineLevel="0" collapsed="false">
      <c r="A48" s="4" t="s">
        <v>200</v>
      </c>
      <c r="C48" s="25" t="n">
        <f aca="false">C42</f>
        <v>-1.5</v>
      </c>
      <c r="D48" s="25" t="n">
        <f aca="false">C48+D42</f>
        <v>-3.54157081543094</v>
      </c>
      <c r="E48" s="25" t="n">
        <f aca="false">D48+E42</f>
        <v>-5.35340958565262</v>
      </c>
      <c r="F48" s="25" t="n">
        <f aca="false">E48+F42</f>
        <v>-6.45631905281752</v>
      </c>
      <c r="G48" s="25" t="n">
        <f aca="false">F48+G42</f>
        <v>-6.59112492241197</v>
      </c>
      <c r="H48" s="25" t="n">
        <f aca="false">G48+H42</f>
        <v>-5.67144986602518</v>
      </c>
    </row>
    <row r="49" customFormat="false" ht="15" hidden="false" customHeight="false" outlineLevel="0" collapsed="false">
      <c r="A49" s="4" t="s">
        <v>12</v>
      </c>
      <c r="B49" s="25" t="n">
        <f aca="false">H30</f>
        <v>28.5635283401682</v>
      </c>
    </row>
    <row r="50" customFormat="false" ht="15" hidden="false" customHeight="false" outlineLevel="0" collapsed="false">
      <c r="A50" s="4" t="s">
        <v>201</v>
      </c>
      <c r="B50" s="27" t="n">
        <f aca="false">IFERROR(H36/H30,0)</f>
        <v>0.102978702987957</v>
      </c>
    </row>
    <row r="52" customFormat="false" ht="15" hidden="false" customHeight="false" outlineLevel="0" collapsed="false">
      <c r="A52" s="3" t="s">
        <v>37</v>
      </c>
      <c r="B52" s="10"/>
      <c r="C52" s="3" t="s">
        <v>22</v>
      </c>
      <c r="D52" s="3" t="s">
        <v>23</v>
      </c>
      <c r="E52" s="3" t="s">
        <v>24</v>
      </c>
      <c r="F52" s="3" t="s">
        <v>25</v>
      </c>
      <c r="G52" s="3" t="s">
        <v>26</v>
      </c>
      <c r="H52" s="3" t="s">
        <v>27</v>
      </c>
    </row>
    <row r="53" customFormat="false" ht="15" hidden="false" customHeight="false" outlineLevel="0" collapsed="false">
      <c r="A53" s="4" t="s">
        <v>188</v>
      </c>
      <c r="D53" s="13" t="n">
        <v>0.55</v>
      </c>
      <c r="E53" s="13" t="n">
        <v>0.8</v>
      </c>
      <c r="F53" s="13" t="n">
        <v>1</v>
      </c>
      <c r="G53" s="13" t="n">
        <v>1.05</v>
      </c>
      <c r="H53" s="13" t="n">
        <v>1.05</v>
      </c>
    </row>
    <row r="54" customFormat="false" ht="15" hidden="false" customHeight="false" outlineLevel="0" collapsed="false">
      <c r="A54" s="4" t="s">
        <v>28</v>
      </c>
      <c r="C54" s="25" t="n">
        <v>0</v>
      </c>
      <c r="D54" s="5" t="n">
        <f aca="false">Assumptions!D$44*D53</f>
        <v>1.3390021463742</v>
      </c>
      <c r="E54" s="5" t="n">
        <f aca="false">Assumptions!E$44*E53</f>
        <v>5.80786094616417</v>
      </c>
      <c r="F54" s="5" t="n">
        <f aca="false">Assumptions!F$44*F53</f>
        <v>14.9111644202634</v>
      </c>
      <c r="G54" s="5" t="n">
        <f aca="false">Assumptions!G$44*G53</f>
        <v>24.0852583298306</v>
      </c>
      <c r="H54" s="5" t="n">
        <f aca="false">Assumptions!H$44*H53</f>
        <v>31.5702155338702</v>
      </c>
    </row>
    <row r="55" customFormat="false" ht="15" hidden="false" customHeight="false" outlineLevel="0" collapsed="false">
      <c r="A55" s="4" t="s">
        <v>189</v>
      </c>
      <c r="B55" s="13" t="n">
        <v>0.42</v>
      </c>
    </row>
    <row r="56" customFormat="false" ht="15" hidden="false" customHeight="false" outlineLevel="0" collapsed="false">
      <c r="A56" s="4" t="s">
        <v>29</v>
      </c>
      <c r="D56" s="25" t="n">
        <f aca="false">D54*$B$55</f>
        <v>0.562380901477164</v>
      </c>
      <c r="E56" s="25" t="n">
        <f aca="false">E54*$B$55</f>
        <v>2.43930159738895</v>
      </c>
      <c r="F56" s="25" t="n">
        <f aca="false">F54*$B$55</f>
        <v>6.26268905651063</v>
      </c>
      <c r="G56" s="25" t="n">
        <f aca="false">G54*$B$55</f>
        <v>10.1158084985288</v>
      </c>
      <c r="H56" s="25" t="n">
        <f aca="false">H54*$B$55</f>
        <v>13.2594905242255</v>
      </c>
    </row>
    <row r="57" customFormat="false" ht="15" hidden="false" customHeight="false" outlineLevel="0" collapsed="false">
      <c r="A57" s="4" t="s">
        <v>190</v>
      </c>
      <c r="B57" s="13" t="n">
        <v>0.2</v>
      </c>
    </row>
    <row r="58" customFormat="false" ht="15" hidden="false" customHeight="false" outlineLevel="0" collapsed="false">
      <c r="A58" s="4" t="s">
        <v>191</v>
      </c>
      <c r="D58" s="16" t="n">
        <v>3.5</v>
      </c>
      <c r="E58" s="16" t="n">
        <v>3.8</v>
      </c>
      <c r="F58" s="16" t="n">
        <v>4</v>
      </c>
      <c r="G58" s="16" t="n">
        <v>4.2</v>
      </c>
      <c r="H58" s="16" t="n">
        <v>4.4</v>
      </c>
    </row>
    <row r="59" customFormat="false" ht="15" hidden="false" customHeight="false" outlineLevel="0" collapsed="false">
      <c r="A59" s="4" t="s">
        <v>192</v>
      </c>
      <c r="C59" s="16" t="n">
        <v>1.8</v>
      </c>
    </row>
    <row r="60" customFormat="false" ht="15" hidden="false" customHeight="false" outlineLevel="0" collapsed="false">
      <c r="A60" s="4" t="s">
        <v>30</v>
      </c>
      <c r="C60" s="25" t="n">
        <f aca="false">-C59</f>
        <v>-1.8</v>
      </c>
      <c r="D60" s="25" t="n">
        <f aca="false">D56-D54*$B$57-D58</f>
        <v>-3.20541952779768</v>
      </c>
      <c r="E60" s="25" t="n">
        <f aca="false">E56-E54*$B$57-E58</f>
        <v>-2.52227059184388</v>
      </c>
      <c r="F60" s="25" t="n">
        <f aca="false">F56-F54*$B$57-F58</f>
        <v>-0.719543827542052</v>
      </c>
      <c r="G60" s="25" t="n">
        <f aca="false">G56-G54*$B$57-G58</f>
        <v>1.09875683256272</v>
      </c>
      <c r="H60" s="25" t="n">
        <f aca="false">H56-H54*$B$57-H58</f>
        <v>2.54544741745143</v>
      </c>
    </row>
    <row r="61" customFormat="false" ht="15" hidden="false" customHeight="false" outlineLevel="0" collapsed="false">
      <c r="A61" s="4" t="s">
        <v>149</v>
      </c>
      <c r="D61" s="5" t="n">
        <f aca="false">MAX(D60,0)*Assumptions!$B$9</f>
        <v>0</v>
      </c>
      <c r="E61" s="5" t="n">
        <f aca="false">MAX(E60,0)*Assumptions!$B$9</f>
        <v>0</v>
      </c>
      <c r="F61" s="5" t="n">
        <f aca="false">MAX(F60,0)*Assumptions!$B$9</f>
        <v>0</v>
      </c>
      <c r="G61" s="5" t="n">
        <f aca="false">MAX(G60,0)*Assumptions!$B$9</f>
        <v>0.263701639815054</v>
      </c>
      <c r="H61" s="5" t="n">
        <f aca="false">MAX(H60,0)*Assumptions!$B$9</f>
        <v>0.610907380188344</v>
      </c>
    </row>
    <row r="62" customFormat="false" ht="15" hidden="false" customHeight="false" outlineLevel="0" collapsed="false">
      <c r="A62" s="4" t="s">
        <v>141</v>
      </c>
      <c r="C62" s="16" t="n">
        <v>5</v>
      </c>
      <c r="D62" s="16" t="n">
        <v>1.5</v>
      </c>
      <c r="E62" s="16" t="n">
        <v>2</v>
      </c>
      <c r="F62" s="16" t="n">
        <v>1</v>
      </c>
      <c r="G62" s="16" t="n">
        <v>0.8</v>
      </c>
      <c r="H62" s="16" t="n">
        <v>0.8</v>
      </c>
    </row>
    <row r="63" customFormat="false" ht="15" hidden="false" customHeight="false" outlineLevel="0" collapsed="false">
      <c r="A63" s="4" t="s">
        <v>152</v>
      </c>
      <c r="D63" s="5" t="n">
        <f aca="false">(D54-C54)*Assumptions!$B$10</f>
        <v>0.20085032195613</v>
      </c>
      <c r="E63" s="5" t="n">
        <f aca="false">(E54-D54)*Assumptions!$B$10</f>
        <v>0.670328819968495</v>
      </c>
      <c r="F63" s="5" t="n">
        <f aca="false">(F54-E54)*Assumptions!$B$10</f>
        <v>1.36549552111488</v>
      </c>
      <c r="G63" s="5" t="n">
        <f aca="false">(G54-F54)*Assumptions!$B$10</f>
        <v>1.37611408643507</v>
      </c>
      <c r="H63" s="5" t="n">
        <f aca="false">(H54-G54)*Assumptions!$B$10</f>
        <v>1.12274358060594</v>
      </c>
    </row>
    <row r="64" customFormat="false" ht="15" hidden="false" customHeight="false" outlineLevel="0" collapsed="false">
      <c r="A64" s="4" t="s">
        <v>193</v>
      </c>
      <c r="C64" s="25" t="n">
        <f aca="false">C60-C62</f>
        <v>-6.8</v>
      </c>
      <c r="D64" s="25" t="n">
        <f aca="false">D60-D61-D62-D63</f>
        <v>-4.90626984975381</v>
      </c>
      <c r="E64" s="25" t="n">
        <f aca="false">E60-E61-E62-E63</f>
        <v>-5.19259941181238</v>
      </c>
      <c r="F64" s="25" t="n">
        <f aca="false">F60-F61-F62-F63</f>
        <v>-3.08503934865694</v>
      </c>
      <c r="G64" s="25" t="n">
        <f aca="false">G60-G61-G62-G63</f>
        <v>-1.3410588936874</v>
      </c>
      <c r="H64" s="25" t="n">
        <f aca="false">H60-H61-H62-H63</f>
        <v>0.0117964566571509</v>
      </c>
    </row>
    <row r="65" customFormat="false" ht="15" hidden="false" customHeight="false" outlineLevel="0" collapsed="false">
      <c r="A65" s="4" t="s">
        <v>194</v>
      </c>
      <c r="B65" s="13" t="n">
        <v>0.51</v>
      </c>
    </row>
    <row r="66" customFormat="false" ht="15" hidden="false" customHeight="false" outlineLevel="0" collapsed="false">
      <c r="A66" s="4" t="s">
        <v>195</v>
      </c>
      <c r="C66" s="25" t="n">
        <f aca="false">C64*$B$65</f>
        <v>-3.468</v>
      </c>
      <c r="D66" s="25" t="n">
        <f aca="false">D64*$B$65</f>
        <v>-2.50219762337444</v>
      </c>
      <c r="E66" s="25" t="n">
        <f aca="false">E64*$B$65</f>
        <v>-2.64822570002431</v>
      </c>
      <c r="F66" s="25" t="n">
        <f aca="false">F64*$B$65</f>
        <v>-1.57337006781504</v>
      </c>
      <c r="G66" s="25" t="n">
        <f aca="false">G64*$B$65</f>
        <v>-0.683940035780577</v>
      </c>
      <c r="H66" s="25" t="n">
        <f aca="false">H64*$B$65</f>
        <v>0.00601619289514696</v>
      </c>
    </row>
    <row r="67" customFormat="false" ht="15" hidden="false" customHeight="false" outlineLevel="0" collapsed="false">
      <c r="A67" s="4" t="s">
        <v>196</v>
      </c>
      <c r="C67" s="5" t="n">
        <f aca="false">C66/(1+Assumptions!$B$7)^0</f>
        <v>-3.468</v>
      </c>
      <c r="D67" s="5" t="n">
        <f aca="false">D66/(1+Assumptions!$B$7)^1</f>
        <v>-2.23410502087004</v>
      </c>
      <c r="E67" s="5" t="n">
        <f aca="false">E66/(1+Assumptions!$B$7)^2</f>
        <v>-2.11114931443265</v>
      </c>
      <c r="F67" s="5" t="n">
        <f aca="false">F66/(1+Assumptions!$B$7)^3</f>
        <v>-1.11989373677159</v>
      </c>
      <c r="G67" s="5" t="n">
        <f aca="false">G66/(1+Assumptions!$B$7)^4</f>
        <v>-0.434656257283403</v>
      </c>
      <c r="H67" s="5" t="n">
        <f aca="false">H66/(1+Assumptions!$B$7)^5</f>
        <v>0.00341374941788982</v>
      </c>
    </row>
    <row r="68" customFormat="false" ht="15" hidden="false" customHeight="false" outlineLevel="0" collapsed="false">
      <c r="A68" s="4" t="s">
        <v>197</v>
      </c>
      <c r="H68" s="5" t="n">
        <f aca="false">MAX(H66,0)*(1+Assumptions!$B$8)/(Assumptions!$B$7-Assumptions!$B$8)</f>
        <v>0.0688519853555708</v>
      </c>
    </row>
    <row r="69" customFormat="false" ht="15" hidden="false" customHeight="false" outlineLevel="0" collapsed="false">
      <c r="A69" s="11" t="s">
        <v>198</v>
      </c>
      <c r="B69" s="32" t="n">
        <f aca="false">SUM(C67:H67)+H68/(1+Assumptions!$B$7)^5</f>
        <v>-9.32532211437949</v>
      </c>
    </row>
    <row r="70" customFormat="false" ht="15" hidden="false" customHeight="false" outlineLevel="0" collapsed="false">
      <c r="A70" s="4" t="s">
        <v>199</v>
      </c>
      <c r="B70" s="25" t="n">
        <f aca="false">SUM(C67:H67)</f>
        <v>-9.36439057993979</v>
      </c>
    </row>
    <row r="71" customFormat="false" ht="15" hidden="false" customHeight="false" outlineLevel="0" collapsed="false">
      <c r="A71" s="4" t="s">
        <v>14</v>
      </c>
      <c r="B71" s="25" t="n">
        <f aca="false">-MIN(C72:H72)</f>
        <v>10.8757334269944</v>
      </c>
    </row>
    <row r="72" customFormat="false" ht="15" hidden="false" customHeight="false" outlineLevel="0" collapsed="false">
      <c r="A72" s="4" t="s">
        <v>200</v>
      </c>
      <c r="C72" s="25" t="n">
        <f aca="false">C66</f>
        <v>-3.468</v>
      </c>
      <c r="D72" s="25" t="n">
        <f aca="false">C72+D66</f>
        <v>-5.97019762337444</v>
      </c>
      <c r="E72" s="25" t="n">
        <f aca="false">D72+E66</f>
        <v>-8.61842332339876</v>
      </c>
      <c r="F72" s="25" t="n">
        <f aca="false">E72+F66</f>
        <v>-10.1917933912138</v>
      </c>
      <c r="G72" s="25" t="n">
        <f aca="false">F72+G66</f>
        <v>-10.8757334269944</v>
      </c>
      <c r="H72" s="25" t="n">
        <f aca="false">G72+H66</f>
        <v>-10.8697172340992</v>
      </c>
    </row>
    <row r="73" customFormat="false" ht="15" hidden="false" customHeight="false" outlineLevel="0" collapsed="false">
      <c r="A73" s="4" t="s">
        <v>12</v>
      </c>
      <c r="B73" s="25" t="n">
        <f aca="false">H54</f>
        <v>31.5702155338702</v>
      </c>
    </row>
    <row r="74" customFormat="false" ht="15" hidden="false" customHeight="false" outlineLevel="0" collapsed="false">
      <c r="A74" s="4" t="s">
        <v>201</v>
      </c>
      <c r="B74" s="27" t="n">
        <f aca="false">IFERROR(H60/H54,0)</f>
        <v>0.0806281292163035</v>
      </c>
    </row>
    <row r="76" customFormat="false" ht="15" hidden="false" customHeight="false" outlineLevel="0" collapsed="false">
      <c r="A76" s="3" t="s">
        <v>38</v>
      </c>
      <c r="B76" s="10"/>
      <c r="C76" s="3" t="s">
        <v>22</v>
      </c>
      <c r="D76" s="3" t="s">
        <v>23</v>
      </c>
      <c r="E76" s="3" t="s">
        <v>24</v>
      </c>
      <c r="F76" s="3" t="s">
        <v>25</v>
      </c>
      <c r="G76" s="3" t="s">
        <v>26</v>
      </c>
      <c r="H76" s="3" t="s">
        <v>27</v>
      </c>
    </row>
    <row r="77" customFormat="false" ht="15" hidden="false" customHeight="false" outlineLevel="0" collapsed="false">
      <c r="A77" s="4" t="s">
        <v>188</v>
      </c>
      <c r="D77" s="13" t="n">
        <v>0.25</v>
      </c>
      <c r="E77" s="13" t="n">
        <v>0.35</v>
      </c>
      <c r="F77" s="13" t="n">
        <v>0.45</v>
      </c>
      <c r="G77" s="13" t="n">
        <v>0.5</v>
      </c>
      <c r="H77" s="13" t="n">
        <v>0.5</v>
      </c>
    </row>
    <row r="78" customFormat="false" ht="15" hidden="false" customHeight="false" outlineLevel="0" collapsed="false">
      <c r="A78" s="4" t="s">
        <v>28</v>
      </c>
      <c r="C78" s="25" t="n">
        <v>0</v>
      </c>
      <c r="D78" s="5" t="n">
        <f aca="false">Assumptions!D$44*D77</f>
        <v>0.608637339261</v>
      </c>
      <c r="E78" s="5" t="n">
        <f aca="false">Assumptions!E$44*E77</f>
        <v>2.54093916394682</v>
      </c>
      <c r="F78" s="5" t="n">
        <f aca="false">Assumptions!F$44*F77</f>
        <v>6.71002398911853</v>
      </c>
      <c r="G78" s="5" t="n">
        <f aca="false">Assumptions!G$44*G77</f>
        <v>11.4691706332527</v>
      </c>
      <c r="H78" s="5" t="n">
        <f aca="false">Assumptions!H$44*H77</f>
        <v>15.0334359685096</v>
      </c>
    </row>
    <row r="79" customFormat="false" ht="15" hidden="false" customHeight="false" outlineLevel="0" collapsed="false">
      <c r="A79" s="4" t="s">
        <v>189</v>
      </c>
      <c r="B79" s="13" t="n">
        <v>0.5</v>
      </c>
    </row>
    <row r="80" customFormat="false" ht="15" hidden="false" customHeight="false" outlineLevel="0" collapsed="false">
      <c r="A80" s="4" t="s">
        <v>29</v>
      </c>
      <c r="D80" s="25" t="n">
        <f aca="false">D78*$B$79</f>
        <v>0.3043186696305</v>
      </c>
      <c r="E80" s="25" t="n">
        <f aca="false">E78*$B$79</f>
        <v>1.27046958197341</v>
      </c>
      <c r="F80" s="25" t="n">
        <f aca="false">F78*$B$79</f>
        <v>3.35501199455927</v>
      </c>
      <c r="G80" s="25" t="n">
        <f aca="false">G78*$B$79</f>
        <v>5.73458531662633</v>
      </c>
      <c r="H80" s="25" t="n">
        <f aca="false">H78*$B$79</f>
        <v>7.5167179842548</v>
      </c>
    </row>
    <row r="81" customFormat="false" ht="15" hidden="false" customHeight="false" outlineLevel="0" collapsed="false">
      <c r="A81" s="4" t="s">
        <v>190</v>
      </c>
      <c r="B81" s="13" t="n">
        <v>0.38</v>
      </c>
    </row>
    <row r="82" customFormat="false" ht="15" hidden="false" customHeight="false" outlineLevel="0" collapsed="false">
      <c r="A82" s="4" t="s">
        <v>191</v>
      </c>
      <c r="D82" s="16" t="n">
        <v>1.2</v>
      </c>
      <c r="E82" s="16" t="n">
        <v>1.4</v>
      </c>
      <c r="F82" s="16" t="n">
        <v>1.6</v>
      </c>
      <c r="G82" s="16" t="n">
        <v>1.8</v>
      </c>
      <c r="H82" s="16" t="n">
        <v>2</v>
      </c>
    </row>
    <row r="83" customFormat="false" ht="15" hidden="false" customHeight="false" outlineLevel="0" collapsed="false">
      <c r="A83" s="4" t="s">
        <v>192</v>
      </c>
      <c r="C83" s="16" t="n">
        <v>0.8</v>
      </c>
    </row>
    <row r="84" customFormat="false" ht="15" hidden="false" customHeight="false" outlineLevel="0" collapsed="false">
      <c r="A84" s="4" t="s">
        <v>30</v>
      </c>
      <c r="C84" s="25" t="n">
        <f aca="false">-C83</f>
        <v>-0.8</v>
      </c>
      <c r="D84" s="25" t="n">
        <f aca="false">D80-D78*$B$81-D82</f>
        <v>-1.12696351928868</v>
      </c>
      <c r="E84" s="25" t="n">
        <f aca="false">E80-E78*$B$81-E82</f>
        <v>-1.09508730032638</v>
      </c>
      <c r="F84" s="25" t="n">
        <f aca="false">F80-F78*$B$81-F82</f>
        <v>-0.794797121305777</v>
      </c>
      <c r="G84" s="25" t="n">
        <f aca="false">G80-G78*$B$81-G82</f>
        <v>-0.423699524009682</v>
      </c>
      <c r="H84" s="25" t="n">
        <f aca="false">H80-H78*$B$81-H82</f>
        <v>-0.195987683778848</v>
      </c>
    </row>
    <row r="85" customFormat="false" ht="15" hidden="false" customHeight="false" outlineLevel="0" collapsed="false">
      <c r="A85" s="4" t="s">
        <v>149</v>
      </c>
      <c r="D85" s="5" t="n">
        <f aca="false">MAX(D84,0)*Assumptions!$B$9</f>
        <v>0</v>
      </c>
      <c r="E85" s="5" t="n">
        <f aca="false">MAX(E84,0)*Assumptions!$B$9</f>
        <v>0</v>
      </c>
      <c r="F85" s="5" t="n">
        <f aca="false">MAX(F84,0)*Assumptions!$B$9</f>
        <v>0</v>
      </c>
      <c r="G85" s="5" t="n">
        <f aca="false">MAX(G84,0)*Assumptions!$B$9</f>
        <v>0</v>
      </c>
      <c r="H85" s="5" t="n">
        <f aca="false">MAX(H84,0)*Assumptions!$B$9</f>
        <v>0</v>
      </c>
    </row>
    <row r="86" customFormat="false" ht="15" hidden="false" customHeight="false" outlineLevel="0" collapsed="false">
      <c r="A86" s="4" t="s">
        <v>141</v>
      </c>
      <c r="C86" s="16" t="n">
        <v>0.4</v>
      </c>
      <c r="D86" s="16" t="n">
        <v>0.2</v>
      </c>
      <c r="E86" s="16" t="n">
        <v>0.2</v>
      </c>
      <c r="F86" s="16" t="n">
        <v>0.2</v>
      </c>
      <c r="G86" s="16" t="n">
        <v>0.2</v>
      </c>
      <c r="H86" s="16" t="n">
        <v>0.2</v>
      </c>
    </row>
    <row r="87" customFormat="false" ht="15" hidden="false" customHeight="false" outlineLevel="0" collapsed="false">
      <c r="A87" s="4" t="s">
        <v>152</v>
      </c>
      <c r="D87" s="5" t="n">
        <f aca="false">(D78-C78)*Assumptions!$B$10</f>
        <v>0.09129560088915</v>
      </c>
      <c r="E87" s="5" t="n">
        <f aca="false">(E78-D78)*Assumptions!$B$10</f>
        <v>0.289845273702874</v>
      </c>
      <c r="F87" s="5" t="n">
        <f aca="false">(F78-E78)*Assumptions!$B$10</f>
        <v>0.625362723775756</v>
      </c>
      <c r="G87" s="5" t="n">
        <f aca="false">(G78-F78)*Assumptions!$B$10</f>
        <v>0.713871996620118</v>
      </c>
      <c r="H87" s="5" t="n">
        <f aca="false">(H78-G78)*Assumptions!$B$10</f>
        <v>0.534639800288543</v>
      </c>
    </row>
    <row r="88" customFormat="false" ht="15" hidden="false" customHeight="false" outlineLevel="0" collapsed="false">
      <c r="A88" s="4" t="s">
        <v>193</v>
      </c>
      <c r="C88" s="25" t="n">
        <f aca="false">C84-C86</f>
        <v>-1.2</v>
      </c>
      <c r="D88" s="25" t="n">
        <f aca="false">D84-D85-D86-D87</f>
        <v>-1.41825912017783</v>
      </c>
      <c r="E88" s="25" t="n">
        <f aca="false">E84-E85-E86-E87</f>
        <v>-1.58493257402925</v>
      </c>
      <c r="F88" s="25" t="n">
        <f aca="false">F84-F85-F86-F87</f>
        <v>-1.62015984508153</v>
      </c>
      <c r="G88" s="25" t="n">
        <f aca="false">G84-G85-G86-G87</f>
        <v>-1.3375715206298</v>
      </c>
      <c r="H88" s="25" t="n">
        <f aca="false">H84-H85-H86-H87</f>
        <v>-0.930627484067391</v>
      </c>
    </row>
    <row r="89" customFormat="false" ht="15" hidden="false" customHeight="false" outlineLevel="0" collapsed="false">
      <c r="A89" s="4" t="s">
        <v>194</v>
      </c>
      <c r="B89" s="13" t="n">
        <v>1</v>
      </c>
    </row>
    <row r="90" customFormat="false" ht="15" hidden="false" customHeight="false" outlineLevel="0" collapsed="false">
      <c r="A90" s="4" t="s">
        <v>195</v>
      </c>
      <c r="C90" s="25" t="n">
        <f aca="false">C88*$B$89</f>
        <v>-1.2</v>
      </c>
      <c r="D90" s="25" t="n">
        <f aca="false">D88*$B$89</f>
        <v>-1.41825912017783</v>
      </c>
      <c r="E90" s="25" t="n">
        <f aca="false">E88*$B$89</f>
        <v>-1.58493257402925</v>
      </c>
      <c r="F90" s="25" t="n">
        <f aca="false">F88*$B$89</f>
        <v>-1.62015984508153</v>
      </c>
      <c r="G90" s="25" t="n">
        <f aca="false">G88*$B$89</f>
        <v>-1.3375715206298</v>
      </c>
      <c r="H90" s="25" t="n">
        <f aca="false">H88*$B$89</f>
        <v>-0.930627484067391</v>
      </c>
    </row>
    <row r="91" customFormat="false" ht="15" hidden="false" customHeight="false" outlineLevel="0" collapsed="false">
      <c r="A91" s="4" t="s">
        <v>196</v>
      </c>
      <c r="C91" s="5" t="n">
        <f aca="false">C90/(1+Assumptions!$B$7)^0</f>
        <v>-1.2</v>
      </c>
      <c r="D91" s="5" t="n">
        <f aca="false">D90/(1+Assumptions!$B$7)^1</f>
        <v>-1.26630278587306</v>
      </c>
      <c r="E91" s="5" t="n">
        <f aca="false">E90/(1+Assumptions!$B$7)^2</f>
        <v>-1.2634985443473</v>
      </c>
      <c r="F91" s="5" t="n">
        <f aca="false">F90/(1+Assumptions!$B$7)^3</f>
        <v>-1.15319777602947</v>
      </c>
      <c r="G91" s="5" t="n">
        <f aca="false">G90/(1+Assumptions!$B$7)^4</f>
        <v>-0.850050882519678</v>
      </c>
      <c r="H91" s="5" t="n">
        <f aca="false">H90/(1+Assumptions!$B$7)^5</f>
        <v>-0.52806302712967</v>
      </c>
    </row>
    <row r="92" customFormat="false" ht="15" hidden="false" customHeight="false" outlineLevel="0" collapsed="false">
      <c r="A92" s="4" t="s">
        <v>197</v>
      </c>
      <c r="H92" s="5" t="n">
        <f aca="false">MAX(H90,0)*(1+Assumptions!$B$8)/(Assumptions!$B$7-Assumptions!$B$8)</f>
        <v>0</v>
      </c>
    </row>
    <row r="93" customFormat="false" ht="15" hidden="false" customHeight="false" outlineLevel="0" collapsed="false">
      <c r="A93" s="11" t="s">
        <v>198</v>
      </c>
      <c r="B93" s="32" t="n">
        <f aca="false">SUM(C91:H91)+H92/(1+Assumptions!$B$7)^5</f>
        <v>-6.26111301589918</v>
      </c>
    </row>
    <row r="94" customFormat="false" ht="15" hidden="false" customHeight="false" outlineLevel="0" collapsed="false">
      <c r="A94" s="4" t="s">
        <v>199</v>
      </c>
      <c r="B94" s="25" t="n">
        <f aca="false">SUM(C91:H91)</f>
        <v>-6.26111301589918</v>
      </c>
    </row>
    <row r="95" customFormat="false" ht="15" hidden="false" customHeight="false" outlineLevel="0" collapsed="false">
      <c r="A95" s="4" t="s">
        <v>14</v>
      </c>
      <c r="B95" s="25" t="n">
        <f aca="false">-MIN(C96:H96)</f>
        <v>8.09155054398581</v>
      </c>
    </row>
    <row r="96" customFormat="false" ht="15" hidden="false" customHeight="false" outlineLevel="0" collapsed="false">
      <c r="A96" s="4" t="s">
        <v>200</v>
      </c>
      <c r="C96" s="25" t="n">
        <f aca="false">C90</f>
        <v>-1.2</v>
      </c>
      <c r="D96" s="25" t="n">
        <f aca="false">C96+D90</f>
        <v>-2.61825912017783</v>
      </c>
      <c r="E96" s="25" t="n">
        <f aca="false">D96+E90</f>
        <v>-4.20319169420709</v>
      </c>
      <c r="F96" s="25" t="n">
        <f aca="false">E96+F90</f>
        <v>-5.82335153928862</v>
      </c>
      <c r="G96" s="25" t="n">
        <f aca="false">F96+G90</f>
        <v>-7.16092305991842</v>
      </c>
      <c r="H96" s="25" t="n">
        <f aca="false">G96+H90</f>
        <v>-8.09155054398581</v>
      </c>
    </row>
    <row r="97" customFormat="false" ht="15" hidden="false" customHeight="false" outlineLevel="0" collapsed="false">
      <c r="A97" s="4" t="s">
        <v>12</v>
      </c>
      <c r="B97" s="25" t="n">
        <f aca="false">H78</f>
        <v>15.0334359685096</v>
      </c>
    </row>
    <row r="98" customFormat="false" ht="15" hidden="false" customHeight="false" outlineLevel="0" collapsed="false">
      <c r="A98" s="4" t="s">
        <v>201</v>
      </c>
      <c r="B98" s="27" t="n">
        <f aca="false">IFERROR(H84/H78,0)</f>
        <v>-0.013036785748074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9"/>
    <col collapsed="false" customWidth="true" hidden="false" outlineLevel="0" max="7" min="3" style="0" width="20"/>
  </cols>
  <sheetData>
    <row r="1" customFormat="false" ht="17.35" hidden="false" customHeight="false" outlineLevel="0" collapsed="false">
      <c r="A1" s="1" t="s">
        <v>202</v>
      </c>
    </row>
    <row r="3" customFormat="false" ht="54" hidden="false" customHeight="true" outlineLevel="0" collapsed="false">
      <c r="A3" s="33" t="s">
        <v>203</v>
      </c>
      <c r="B3" s="33" t="s">
        <v>204</v>
      </c>
      <c r="C3" s="33" t="s">
        <v>35</v>
      </c>
      <c r="D3" s="33" t="s">
        <v>36</v>
      </c>
      <c r="E3" s="33" t="s">
        <v>37</v>
      </c>
      <c r="F3" s="33" t="s">
        <v>38</v>
      </c>
      <c r="G3" s="33" t="s">
        <v>205</v>
      </c>
    </row>
    <row r="4" customFormat="false" ht="15" hidden="false" customHeight="false" outlineLevel="0" collapsed="false">
      <c r="A4" s="4" t="s">
        <v>206</v>
      </c>
      <c r="B4" s="34" t="n">
        <v>0.3</v>
      </c>
      <c r="C4" s="35" t="n">
        <f aca="false">1+4*(Mode_Compare!$B$21-MIN(Mode_Compare!$B$21,Mode_Compare!$B$45,Mode_Compare!$B$69,Mode_Compare!$B$93,Model_Base!$B$85))/(MAX(Mode_Compare!$B$21,Mode_Compare!$B$45,Mode_Compare!$B$69,Mode_Compare!$B$93,Model_Base!$B$85)-MIN(Mode_Compare!$B$21,Mode_Compare!$B$45,Mode_Compare!$B$69,Mode_Compare!$B$93,Model_Base!$B$85))</f>
        <v>1</v>
      </c>
      <c r="D4" s="35" t="n">
        <f aca="false">1+4*(Mode_Compare!$B$45-MIN(Mode_Compare!$B$21,Mode_Compare!$B$45,Mode_Compare!$B$69,Mode_Compare!$B$93,Model_Base!$B$85))/(MAX(Mode_Compare!$B$21,Mode_Compare!$B$45,Mode_Compare!$B$69,Mode_Compare!$B$93,Model_Base!$B$85)-MIN(Mode_Compare!$B$21,Mode_Compare!$B$45,Mode_Compare!$B$69,Mode_Compare!$B$93,Model_Base!$B$85))</f>
        <v>3.62649565434158</v>
      </c>
      <c r="E4" s="35" t="n">
        <f aca="false">1+4*(Mode_Compare!$B$69-MIN(Mode_Compare!$B$21,Mode_Compare!$B$45,Mode_Compare!$B$69,Mode_Compare!$B$93,Model_Base!$B$85))/(MAX(Mode_Compare!$B$21,Mode_Compare!$B$45,Mode_Compare!$B$69,Mode_Compare!$B$93,Model_Base!$B$85)-MIN(Mode_Compare!$B$21,Mode_Compare!$B$45,Mode_Compare!$B$69,Mode_Compare!$B$93,Model_Base!$B$85))</f>
        <v>2.34674522598477</v>
      </c>
      <c r="F4" s="35" t="n">
        <f aca="false">1+4*(Mode_Compare!$B$93-MIN(Mode_Compare!$B$21,Mode_Compare!$B$45,Mode_Compare!$B$69,Mode_Compare!$B$93,Model_Base!$B$85))/(MAX(Mode_Compare!$B$21,Mode_Compare!$B$45,Mode_Compare!$B$69,Mode_Compare!$B$93,Model_Base!$B$85)-MIN(Mode_Compare!$B$21,Mode_Compare!$B$45,Mode_Compare!$B$69,Mode_Compare!$B$93,Model_Base!$B$85))</f>
        <v>2.73189640611808</v>
      </c>
      <c r="G4" s="35" t="n">
        <f aca="false">1+4*(Model_Base!$B$85-MIN(Mode_Compare!$B$21,Mode_Compare!$B$45,Mode_Compare!$B$69,Mode_Compare!$B$93,Model_Base!$B$85))/(MAX(Mode_Compare!$B$21,Mode_Compare!$B$45,Mode_Compare!$B$69,Mode_Compare!$B$93,Model_Base!$B$85)-MIN(Mode_Compare!$B$21,Mode_Compare!$B$45,Mode_Compare!$B$69,Mode_Compare!$B$93,Model_Base!$B$85))</f>
        <v>5</v>
      </c>
    </row>
    <row r="5" customFormat="false" ht="15" hidden="false" customHeight="false" outlineLevel="0" collapsed="false">
      <c r="A5" s="4" t="s">
        <v>207</v>
      </c>
      <c r="B5" s="34" t="n">
        <v>0.15</v>
      </c>
      <c r="C5" s="15" t="n">
        <v>2</v>
      </c>
      <c r="D5" s="15" t="n">
        <v>5</v>
      </c>
      <c r="E5" s="15" t="n">
        <v>3</v>
      </c>
      <c r="F5" s="15" t="n">
        <v>4</v>
      </c>
      <c r="G5" s="15" t="n">
        <v>5</v>
      </c>
    </row>
    <row r="6" customFormat="false" ht="15" hidden="false" customHeight="false" outlineLevel="0" collapsed="false">
      <c r="A6" s="4" t="s">
        <v>208</v>
      </c>
      <c r="B6" s="34" t="n">
        <v>0.15</v>
      </c>
      <c r="C6" s="15" t="n">
        <v>1</v>
      </c>
      <c r="D6" s="15" t="n">
        <v>4</v>
      </c>
      <c r="E6" s="15" t="n">
        <v>2</v>
      </c>
      <c r="F6" s="15" t="n">
        <v>4</v>
      </c>
      <c r="G6" s="15" t="n">
        <v>4</v>
      </c>
    </row>
    <row r="7" customFormat="false" ht="15" hidden="false" customHeight="false" outlineLevel="0" collapsed="false">
      <c r="A7" s="4" t="s">
        <v>209</v>
      </c>
      <c r="B7" s="34" t="n">
        <v>0.15</v>
      </c>
      <c r="C7" s="15" t="n">
        <v>5</v>
      </c>
      <c r="D7" s="15" t="n">
        <v>2</v>
      </c>
      <c r="E7" s="15" t="n">
        <v>3</v>
      </c>
      <c r="F7" s="15" t="n">
        <v>4</v>
      </c>
      <c r="G7" s="15" t="n">
        <v>4</v>
      </c>
    </row>
    <row r="8" customFormat="false" ht="15" hidden="false" customHeight="false" outlineLevel="0" collapsed="false">
      <c r="A8" s="4" t="s">
        <v>210</v>
      </c>
      <c r="B8" s="34" t="n">
        <v>0.15</v>
      </c>
      <c r="C8" s="15" t="n">
        <v>2</v>
      </c>
      <c r="D8" s="15" t="n">
        <v>4</v>
      </c>
      <c r="E8" s="15" t="n">
        <v>5</v>
      </c>
      <c r="F8" s="15" t="n">
        <v>3</v>
      </c>
      <c r="G8" s="15" t="n">
        <v>4</v>
      </c>
    </row>
    <row r="9" customFormat="false" ht="15" hidden="false" customHeight="false" outlineLevel="0" collapsed="false">
      <c r="A9" s="4" t="s">
        <v>211</v>
      </c>
      <c r="B9" s="34" t="n">
        <v>0.1</v>
      </c>
      <c r="C9" s="15" t="n">
        <v>3</v>
      </c>
      <c r="D9" s="15" t="n">
        <v>3</v>
      </c>
      <c r="E9" s="15" t="n">
        <v>3</v>
      </c>
      <c r="F9" s="15" t="n">
        <v>2</v>
      </c>
      <c r="G9" s="15" t="n">
        <v>5</v>
      </c>
    </row>
    <row r="10" customFormat="false" ht="15" hidden="false" customHeight="false" outlineLevel="0" collapsed="false">
      <c r="A10" s="11" t="s">
        <v>212</v>
      </c>
      <c r="B10" s="36" t="n">
        <f aca="false">SUM(B4:B9)</f>
        <v>1</v>
      </c>
      <c r="C10" s="37" t="n">
        <f aca="false">SUMPRODUCT($B$4:$B$9,C4:C9)</f>
        <v>2.1</v>
      </c>
      <c r="D10" s="37" t="n">
        <f aca="false">SUMPRODUCT($B$4:$B$9,D4:D9)</f>
        <v>3.63794869630247</v>
      </c>
      <c r="E10" s="37" t="n">
        <f aca="false">SUMPRODUCT($B$4:$B$9,E4:E9)</f>
        <v>2.95402356779543</v>
      </c>
      <c r="F10" s="37" t="n">
        <f aca="false">SUMPRODUCT($B$4:$B$9,F4:F9)</f>
        <v>3.26956892183543</v>
      </c>
      <c r="G10" s="37" t="n">
        <f aca="false">SUMPRODUCT($B$4:$B$9,G4:G9)</f>
        <v>4.55</v>
      </c>
    </row>
    <row r="11" customFormat="false" ht="15" hidden="false" customHeight="false" outlineLevel="0" collapsed="false">
      <c r="A11" s="4" t="s">
        <v>213</v>
      </c>
      <c r="C11" s="21" t="n">
        <f aca="false">RANK(C10,$C$10:$G$10)</f>
        <v>5</v>
      </c>
      <c r="D11" s="21" t="n">
        <f aca="false">RANK(D10,$C$10:$G$10)</f>
        <v>2</v>
      </c>
      <c r="E11" s="21" t="n">
        <f aca="false">RANK(E10,$C$10:$G$10)</f>
        <v>4</v>
      </c>
      <c r="F11" s="21" t="n">
        <f aca="false">RANK(F10,$C$10:$G$10)</f>
        <v>3</v>
      </c>
      <c r="G11" s="21" t="n">
        <f aca="false">RANK(G10,$C$10:$G$10)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7" min="4" style="0" width="13"/>
    <col collapsed="false" customWidth="true" hidden="false" outlineLevel="0" max="8" min="8" style="0" width="12"/>
  </cols>
  <sheetData>
    <row r="1" customFormat="false" ht="17.35" hidden="false" customHeight="false" outlineLevel="0" collapsed="false">
      <c r="A1" s="1" t="s">
        <v>214</v>
      </c>
    </row>
    <row r="2" customFormat="false" ht="15" hidden="false" customHeight="false" outlineLevel="0" collapsed="false">
      <c r="A2" s="2" t="s">
        <v>215</v>
      </c>
    </row>
    <row r="3" customFormat="false" ht="15" hidden="false" customHeight="false" outlineLevel="0" collapsed="false">
      <c r="A3" s="11" t="s">
        <v>216</v>
      </c>
      <c r="D3" s="25" t="n">
        <v>11.7836029999346</v>
      </c>
    </row>
    <row r="4" customFormat="false" ht="15" hidden="false" customHeight="false" outlineLevel="0" collapsed="false">
      <c r="A4" s="3" t="s">
        <v>217</v>
      </c>
      <c r="B4" s="3" t="s">
        <v>218</v>
      </c>
      <c r="C4" s="3" t="s">
        <v>219</v>
      </c>
      <c r="D4" s="3" t="s">
        <v>220</v>
      </c>
      <c r="E4" s="3" t="s">
        <v>221</v>
      </c>
      <c r="F4" s="3" t="s">
        <v>222</v>
      </c>
      <c r="G4" s="3" t="s">
        <v>223</v>
      </c>
      <c r="H4" s="3" t="s">
        <v>224</v>
      </c>
    </row>
    <row r="5" customFormat="false" ht="15" hidden="false" customHeight="false" outlineLevel="0" collapsed="false">
      <c r="A5" s="4" t="s">
        <v>225</v>
      </c>
      <c r="B5" s="4" t="s">
        <v>226</v>
      </c>
      <c r="C5" s="4" t="s">
        <v>227</v>
      </c>
      <c r="D5" s="25" t="n">
        <v>7.50827854855003</v>
      </c>
      <c r="E5" s="25" t="n">
        <v>18.7207881106872</v>
      </c>
      <c r="F5" s="25" t="n">
        <f aca="false">D5-$D$3</f>
        <v>-4.27532445138457</v>
      </c>
      <c r="G5" s="25" t="n">
        <f aca="false">E5-$D$3</f>
        <v>6.9371851107526</v>
      </c>
      <c r="H5" s="25" t="n">
        <f aca="false">ABS(G5-F5)</f>
        <v>11.2125095621372</v>
      </c>
    </row>
    <row r="6" customFormat="false" ht="15" hidden="false" customHeight="false" outlineLevel="0" collapsed="false">
      <c r="A6" s="4" t="s">
        <v>102</v>
      </c>
      <c r="B6" s="4" t="s">
        <v>228</v>
      </c>
      <c r="C6" s="4" t="s">
        <v>229</v>
      </c>
      <c r="D6" s="25" t="n">
        <v>5.60097877842784</v>
      </c>
      <c r="E6" s="25" t="n">
        <v>15.2893794026342</v>
      </c>
      <c r="F6" s="25" t="n">
        <f aca="false">D6-$D$3</f>
        <v>-6.18262422150676</v>
      </c>
      <c r="G6" s="25" t="n">
        <f aca="false">E6-$D$3</f>
        <v>3.5057764026996</v>
      </c>
      <c r="H6" s="25" t="n">
        <f aca="false">ABS(G6-F6)</f>
        <v>9.68840062420636</v>
      </c>
    </row>
    <row r="7" customFormat="false" ht="15" hidden="false" customHeight="false" outlineLevel="0" collapsed="false">
      <c r="A7" s="4" t="s">
        <v>101</v>
      </c>
      <c r="B7" s="4" t="s">
        <v>228</v>
      </c>
      <c r="C7" s="4" t="s">
        <v>229</v>
      </c>
      <c r="D7" s="25" t="n">
        <v>6.45290612658859</v>
      </c>
      <c r="E7" s="25" t="n">
        <v>14.9748800358701</v>
      </c>
      <c r="F7" s="25" t="n">
        <f aca="false">D7-$D$3</f>
        <v>-5.33069687334601</v>
      </c>
      <c r="G7" s="25" t="n">
        <f aca="false">E7-$D$3</f>
        <v>3.1912770359355</v>
      </c>
      <c r="H7" s="25" t="n">
        <f aca="false">ABS(G7-F7)</f>
        <v>8.52197390928151</v>
      </c>
    </row>
    <row r="8" customFormat="false" ht="15" hidden="false" customHeight="false" outlineLevel="0" collapsed="false">
      <c r="A8" s="4" t="s">
        <v>105</v>
      </c>
      <c r="B8" s="4" t="s">
        <v>230</v>
      </c>
      <c r="C8" s="4" t="s">
        <v>231</v>
      </c>
      <c r="D8" s="25" t="n">
        <v>6.9446113123099</v>
      </c>
      <c r="E8" s="25" t="n">
        <v>15.1496545007921</v>
      </c>
      <c r="F8" s="25" t="n">
        <f aca="false">D8-$D$3</f>
        <v>-4.8389916876247</v>
      </c>
      <c r="G8" s="25" t="n">
        <f aca="false">E8-$D$3</f>
        <v>3.3660515008575</v>
      </c>
      <c r="H8" s="25" t="n">
        <f aca="false">ABS(G8-F8)</f>
        <v>8.2050431884822</v>
      </c>
    </row>
    <row r="9" customFormat="false" ht="15" hidden="false" customHeight="false" outlineLevel="0" collapsed="false">
      <c r="A9" s="4" t="s">
        <v>232</v>
      </c>
      <c r="B9" s="4" t="s">
        <v>229</v>
      </c>
      <c r="C9" s="4" t="s">
        <v>228</v>
      </c>
      <c r="D9" s="25" t="n">
        <v>7.20697506021434</v>
      </c>
      <c r="E9" s="25" t="n">
        <v>13.660410243878</v>
      </c>
      <c r="F9" s="25" t="n">
        <f aca="false">D9-$D$3</f>
        <v>-4.57662793972026</v>
      </c>
      <c r="G9" s="25" t="n">
        <f aca="false">E9-$D$3</f>
        <v>1.8768072439434</v>
      </c>
      <c r="H9" s="25" t="n">
        <f aca="false">ABS(G9-F9)</f>
        <v>6.45343518366366</v>
      </c>
    </row>
    <row r="10" customFormat="false" ht="15" hidden="false" customHeight="false" outlineLevel="0" collapsed="false">
      <c r="A10" s="4" t="s">
        <v>48</v>
      </c>
      <c r="B10" s="4" t="s">
        <v>233</v>
      </c>
      <c r="C10" s="4" t="s">
        <v>234</v>
      </c>
      <c r="D10" s="25" t="n">
        <v>9.93169519048053</v>
      </c>
      <c r="E10" s="25" t="n">
        <v>14.0984877617521</v>
      </c>
      <c r="F10" s="25" t="n">
        <f aca="false">D10-$D$3</f>
        <v>-1.85190780945407</v>
      </c>
      <c r="G10" s="25" t="n">
        <f aca="false">E10-$D$3</f>
        <v>2.3148847618175</v>
      </c>
      <c r="H10" s="25" t="n">
        <f aca="false">ABS(G10-F10)</f>
        <v>4.16679257127157</v>
      </c>
    </row>
    <row r="11" customFormat="false" ht="15" hidden="false" customHeight="false" outlineLevel="0" collapsed="false">
      <c r="A11" s="4" t="s">
        <v>52</v>
      </c>
      <c r="B11" s="4" t="s">
        <v>235</v>
      </c>
      <c r="C11" s="4" t="s">
        <v>236</v>
      </c>
      <c r="D11" s="25" t="n">
        <v>9.76031528737664</v>
      </c>
      <c r="E11" s="25" t="n">
        <v>13.8068907124925</v>
      </c>
      <c r="F11" s="25" t="n">
        <f aca="false">D11-$D$3</f>
        <v>-2.02328771255796</v>
      </c>
      <c r="G11" s="25" t="n">
        <f aca="false">E11-$D$3</f>
        <v>2.0232877125579</v>
      </c>
      <c r="H11" s="25" t="n">
        <f aca="false">ABS(G11-F11)</f>
        <v>4.04657542511586</v>
      </c>
    </row>
    <row r="12" customFormat="false" ht="15" hidden="false" customHeight="false" outlineLevel="0" collapsed="false">
      <c r="A12" s="4" t="s">
        <v>103</v>
      </c>
      <c r="B12" s="4" t="s">
        <v>237</v>
      </c>
      <c r="C12" s="4" t="s">
        <v>238</v>
      </c>
      <c r="D12" s="25" t="n">
        <v>10.3304825783763</v>
      </c>
      <c r="E12" s="25" t="n">
        <v>13.2341962880909</v>
      </c>
      <c r="F12" s="25" t="n">
        <f aca="false">D12-$D$3</f>
        <v>-1.4531204215583</v>
      </c>
      <c r="G12" s="25" t="n">
        <f aca="false">E12-$D$3</f>
        <v>1.4505932881563</v>
      </c>
      <c r="H12" s="25" t="n">
        <f aca="false">ABS(G12-F12)</f>
        <v>2.9037137097146</v>
      </c>
    </row>
    <row r="13" customFormat="false" ht="15" hidden="false" customHeight="false" outlineLevel="0" collapsed="false">
      <c r="A13" s="4" t="s">
        <v>106</v>
      </c>
      <c r="B13" s="4" t="s">
        <v>229</v>
      </c>
      <c r="C13" s="4" t="s">
        <v>228</v>
      </c>
      <c r="D13" s="25" t="n">
        <v>10.9154182807312</v>
      </c>
      <c r="E13" s="25" t="n">
        <v>12.6517877191379</v>
      </c>
      <c r="F13" s="25" t="n">
        <f aca="false">D13-$D$3</f>
        <v>-0.868184719203399</v>
      </c>
      <c r="G13" s="25" t="n">
        <f aca="false">E13-$D$3</f>
        <v>0.868184719203301</v>
      </c>
      <c r="H13" s="25" t="n">
        <f aca="false">ABS(G13-F13)</f>
        <v>1.7363694384067</v>
      </c>
    </row>
    <row r="14" customFormat="false" ht="15" hidden="false" customHeight="false" outlineLevel="0" collapsed="false">
      <c r="A14" s="4" t="s">
        <v>239</v>
      </c>
      <c r="B14" s="4" t="s">
        <v>238</v>
      </c>
      <c r="C14" s="4" t="s">
        <v>237</v>
      </c>
      <c r="D14" s="25" t="n">
        <v>11.1143443278752</v>
      </c>
      <c r="E14" s="25" t="n">
        <v>12.4528616719939</v>
      </c>
      <c r="F14" s="25" t="n">
        <f aca="false">D14-$D$3</f>
        <v>-0.669258672059399</v>
      </c>
      <c r="G14" s="25" t="n">
        <f aca="false">E14-$D$3</f>
        <v>0.6692586720593</v>
      </c>
      <c r="H14" s="25" t="n">
        <f aca="false">ABS(G14-F14)</f>
        <v>1.3385173441187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2026-10-12T19:32:29Z</dcterms:created>
  <dc:creator>openpyxl</dc:creator>
  <dc:description/>
  <dc:language>en-US</dc:language>
  <cp:lastModifiedBy/>
  <dcterms:modified xsi:type="dcterms:W3CDTF">2026-10-12T19:32:31Z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