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ME" sheetId="1" state="visible" r:id="rId3"/>
    <sheet name="Summary" sheetId="2" state="visible" r:id="rId4"/>
    <sheet name="Assumptions" sheetId="3" state="visible" r:id="rId5"/>
    <sheet name="Baseline_Diagnostic" sheetId="4" state="visible" r:id="rId6"/>
    <sheet name="Ramp" sheetId="5" state="visible" r:id="rId7"/>
    <sheet name="Benefits" sheetId="6" state="visible" r:id="rId8"/>
    <sheet name="CashFlows" sheetId="7" state="visible" r:id="rId9"/>
    <sheet name="Scenarios_Sensitivity" sheetId="8" state="visible" r:id="rId10"/>
    <sheet name="KPI_Challenge" sheetId="9" state="visible" r:id="rId11"/>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<sst xmlns="http://schemas.openxmlformats.org/spreadsheetml/2006/main" count="854" uniqueCount="509">
  <si>
    <t xml:space="preserve">Meridian Precision Components - 5-Year ERP Investment Financial Model</t>
  </si>
  <si>
    <t xml:space="preserve">Prepared for the Board Investment Committee | 2027-2031 | RM | Pre-tax | Synthetic case data</t>
  </si>
  <si>
    <t xml:space="preserve">Purpose</t>
  </si>
  <si>
    <t xml:space="preserve">Compare four routes against the do-nothing baseline: A (process improvement), B (cloud ERP), C (ERP + analytics) and P (recommended phased route: process-first, then gated cloud ERP).</t>
  </si>
  <si>
    <t xml:space="preserve">How to use</t>
  </si>
  <si>
    <t xml:space="preserve">Pick a scenario in Assumptions!C4 (1=Base, 2=Conservative, 3=Downside, 4=Management claims). Every sheet recalculates. Blue = input, black = formula, green = link to another sheet, yellow fill = key lever.</t>
  </si>
  <si>
    <t xml:space="preserve">Sheet map</t>
  </si>
  <si>
    <t xml:space="preserve">Assumptions &gt; Baseline_Diagnostic (cost of inefficiency, pools) &gt; Ramp (monthly adoption curves) &gt; Benefits (by option) &gt; CashFlows (investment, recurring, WC, metrics) &gt; Summary (board test) &gt; Scenarios_Sensitivity (pasted engine outputs) &gt; KPI_Challenge</t>
  </si>
  <si>
    <t xml:space="preserve">Integrity rules</t>
  </si>
  <si>
    <t xml:space="preserve">1) Recurring operating savings and one-time working-capital release are in separate rows and metrics. 2) Released working capital is a cash inflow; interest saved on it is NOT counted (the 12% discount rate already prices cash). 3) Time saved is valued only at the monetised share (Assumptions) because headcount is retained. 4) Each cost lives in one benefit line only (see Overlap map in Baseline_Diagnostic). 5) Benefits are counted only where a causal mechanism exists; rework gets a small, explicit credit.</t>
  </si>
  <si>
    <t xml:space="preserve">Timing convention</t>
  </si>
  <si>
    <t xml:space="preserve">Initial investment at t=0 (start of 2027, conservative); operating cash flows at year-end for 2027-2031. Annual benefit = steady-state benefit x average monthly ramp for that year x volume index x realisation.</t>
  </si>
  <si>
    <t xml:space="preserve">Scenario sheet</t>
  </si>
  <si>
    <t xml:space="preserve">Scenarios_Sensitivity holds values produced by a Python replica of this workbook (same logic). Change Assumptions!C4 to reproduce any scenario live; Summary values match the pasted table.</t>
  </si>
  <si>
    <t xml:space="preserve">Limitations</t>
  </si>
  <si>
    <t xml:space="preserve">Synthetic data; vendor figures are preliminary, not quotations. Tax, grants (e.g. MDEC/MIDA digital incentives) and financing structure are excluded; confirm with CFO. Several pools are estimates (marked) pending a time study and a stock-movement audit.</t>
  </si>
  <si>
    <t xml:space="preserve">Board summary - live scenario</t>
  </si>
  <si>
    <t xml:space="preserve">Scenario shown: see D4. Compare to board criteria in rows below.</t>
  </si>
  <si>
    <t xml:space="preserve">Active scenario</t>
  </si>
  <si>
    <t xml:space="preserve">Metric</t>
  </si>
  <si>
    <t xml:space="preserve">Option A</t>
  </si>
  <si>
    <t xml:space="preserve">Option B</t>
  </si>
  <si>
    <t xml:space="preserve">Option C</t>
  </si>
  <si>
    <t xml:space="preserve">Option P (phased)</t>
  </si>
  <si>
    <t xml:space="preserve">Board criterion</t>
  </si>
  <si>
    <t xml:space="preserve">Total initial investment (RM)</t>
  </si>
  <si>
    <t xml:space="preserve">&lt;= RM 1,500,000</t>
  </si>
  <si>
    <t xml:space="preserve">NPV incl. WC release (RM)</t>
  </si>
  <si>
    <t xml:space="preserve">&gt; 0 at 12%</t>
  </si>
  <si>
    <t xml:space="preserve">NPV excl. WC release (RM)</t>
  </si>
  <si>
    <t xml:space="preserve">Recurring-only test</t>
  </si>
  <si>
    <t xml:space="preserve">IRR incl. WC</t>
  </si>
  <si>
    <t xml:space="preserve">&gt; 12%</t>
  </si>
  <si>
    <t xml:space="preserve">5-year ROI incl. WC</t>
  </si>
  <si>
    <t xml:space="preserve">&gt;= 20%</t>
  </si>
  <si>
    <t xml:space="preserve">5-year ROI excl. WC</t>
  </si>
  <si>
    <t xml:space="preserve">Simple payback incl. WC (months)</t>
  </si>
  <si>
    <t xml:space="preserve">&lt;= 36</t>
  </si>
  <si>
    <t xml:space="preserve">Discounted payback incl. WC (months)</t>
  </si>
  <si>
    <t xml:space="preserve">&lt;= 60</t>
  </si>
  <si>
    <t xml:space="preserve">Steady-state recurring benefit 2031 (RM)</t>
  </si>
  <si>
    <t xml:space="preserve">Recurring cost 2031 (RM)</t>
  </si>
  <si>
    <t xml:space="preserve">Net recurring cash flow 2031 (RM)</t>
  </si>
  <si>
    <t xml:space="preserve">Cumulative WC released by 2031 (RM) - one-time</t>
  </si>
  <si>
    <t xml:space="preserve">Peak cumulative cash exposure (RM)</t>
  </si>
  <si>
    <t xml:space="preserve">Board test (pass = all of: investment cap, NPV&gt;0, IRR&gt;12%, ROI&gt;=20%, payback&lt;=36m)</t>
  </si>
  <si>
    <t xml:space="preserve">Reading guide: where NPV excl. WC is negative, the case rests on one-time cash release from inventory, not on recurring savings. Both must be shown to the board.</t>
  </si>
  <si>
    <t xml:space="preserve">Assumptions &amp; scenario control</t>
  </si>
  <si>
    <t xml:space="preserve">Blue = input. Scenario columns F:I feed the live column C via INDEX.</t>
  </si>
  <si>
    <t xml:space="preserve">Active scenario (1-4)</t>
  </si>
  <si>
    <t xml:space="preserve">Scenario lever</t>
  </si>
  <si>
    <t xml:space="preserve">Unit</t>
  </si>
  <si>
    <t xml:space="preserve">Live</t>
  </si>
  <si>
    <t xml:space="preserve">Source / rationale</t>
  </si>
  <si>
    <t xml:space="preserve">Base</t>
  </si>
  <si>
    <t xml:space="preserve">Conservative</t>
  </si>
  <si>
    <t xml:space="preserve">Downside</t>
  </si>
  <si>
    <t xml:space="preserve">Mgmt claims</t>
  </si>
  <si>
    <t xml:space="preserve">Cost overrun on vendor estimate</t>
  </si>
  <si>
    <t xml:space="preserve">%</t>
  </si>
  <si>
    <t xml:space="preserve">Contingency on preliminary vendor figures; scaled by complexity factor per option</t>
  </si>
  <si>
    <t xml:space="preserve">Go-live delay (months)</t>
  </si>
  <si>
    <t xml:space="preserve">months</t>
  </si>
  <si>
    <t xml:space="preserve">Applied in full to ERP go-live; half to process-only (A) work</t>
  </si>
  <si>
    <t xml:space="preserve">Adoption ramp multiplier</t>
  </si>
  <si>
    <t xml:space="preserve">x</t>
  </si>
  <si>
    <t xml:space="preserve">1.0 = ramp per option table; &gt;1 = slower employee adoption</t>
  </si>
  <si>
    <t xml:space="preserve">Benefit realisation</t>
  </si>
  <si>
    <t xml:space="preserve">Global multiplier on steady-state benefits and WC days</t>
  </si>
  <si>
    <t xml:space="preserve">Licence inflation p.a.</t>
  </si>
  <si>
    <t xml:space="preserve">Applied from year 2</t>
  </si>
  <si>
    <t xml:space="preserve">Volume growth p.a.</t>
  </si>
  <si>
    <t xml:space="preserve">Volume index for pools and COGS (do-nothing baseline grows at same rate)</t>
  </si>
  <si>
    <t xml:space="preserve">Capacity monetisation</t>
  </si>
  <si>
    <t xml:space="preserve">Share of released hours that becomes cash (avoided overtime/hires/redeployment value)</t>
  </si>
  <si>
    <t xml:space="preserve">Discount rate</t>
  </si>
  <si>
    <t xml:space="preserve">Board hurdle rate</t>
  </si>
  <si>
    <t xml:space="preserve">Baseline operating data (RM / units)</t>
  </si>
  <si>
    <t xml:space="preserve">Hours per FTE per year</t>
  </si>
  <si>
    <t xml:space="preserve">hrs</t>
  </si>
  <si>
    <t xml:space="preserve">240 days x 8h (assumption)</t>
  </si>
  <si>
    <t xml:space="preserve">Procurement FTE annual cost</t>
  </si>
  <si>
    <t xml:space="preserve">RM</t>
  </si>
  <si>
    <t xml:space="preserve">Case data (Exhibit 3)</t>
  </si>
  <si>
    <t xml:space="preserve">Finance/admin FTE annual cost</t>
  </si>
  <si>
    <t xml:space="preserve">ASSUMPTION - confirm with HR</t>
  </si>
  <si>
    <t xml:space="preserve">Warehouse FTE annual cost</t>
  </si>
  <si>
    <t xml:space="preserve">Annual purchase orders</t>
  </si>
  <si>
    <t xml:space="preserve">#</t>
  </si>
  <si>
    <t xml:space="preserve">Case data</t>
  </si>
  <si>
    <t xml:space="preserve">PO processing time (current)</t>
  </si>
  <si>
    <t xml:space="preserve">min</t>
  </si>
  <si>
    <t xml:space="preserve">Case data; no time study done</t>
  </si>
  <si>
    <t xml:space="preserve">Monthly reporting hours</t>
  </si>
  <si>
    <t xml:space="preserve">Finance estimate</t>
  </si>
  <si>
    <t xml:space="preserve">Material share of COGS</t>
  </si>
  <si>
    <t xml:space="preserve">ASSUMPTION - spend cube required</t>
  </si>
  <si>
    <t xml:space="preserve">Rework conversion-cost share of COGS</t>
  </si>
  <si>
    <t xml:space="preserve">ASSUMPTION - cost of reworked unit</t>
  </si>
  <si>
    <t xml:space="preserve">Stockout incidents per year</t>
  </si>
  <si>
    <t xml:space="preserve">45/month x 12 (Exhibit 4)</t>
  </si>
  <si>
    <t xml:space="preserve">Search hours per stockout (2 staff x 2.5h)</t>
  </si>
  <si>
    <t xml:space="preserve">ASSUMPTION - time study required</t>
  </si>
  <si>
    <t xml:space="preserve">Inventory adjustments per year</t>
  </si>
  <si>
    <t xml:space="preserve">355/month x 12 (Exhibit 4)</t>
  </si>
  <si>
    <t xml:space="preserve">Hours per adjustment</t>
  </si>
  <si>
    <t xml:space="preserve">ASSUMPTION</t>
  </si>
  <si>
    <t xml:space="preserve">Inventory days - current</t>
  </si>
  <si>
    <t xml:space="preserve">days</t>
  </si>
  <si>
    <t xml:space="preserve">Cash holding cost of inventory</t>
  </si>
  <si>
    <t xml:space="preserve">% of value</t>
  </si>
  <si>
    <t xml:space="preserve">Handling, insurance, space (excl. write-offs, excl. financing)</t>
  </si>
  <si>
    <t xml:space="preserve">Liquidation haircut on released stock</t>
  </si>
  <si>
    <t xml:space="preserve">% of release</t>
  </si>
  <si>
    <t xml:space="preserve">One-time cost of disposing slow movers</t>
  </si>
  <si>
    <t xml:space="preserve">OTD: revenue retained per +1pp</t>
  </si>
  <si>
    <t xml:space="preserve">% of revenue</t>
  </si>
  <si>
    <t xml:space="preserve">ASSUMPTION - no customer-level data</t>
  </si>
  <si>
    <t xml:space="preserve">OTD: margin on retained revenue</t>
  </si>
  <si>
    <t xml:space="preserve">Approx. gross margin</t>
  </si>
  <si>
    <t xml:space="preserve">Historical financials (RM m unless stated)</t>
  </si>
  <si>
    <t xml:space="preserve">Item</t>
  </si>
  <si>
    <t xml:space="preserve">2024</t>
  </si>
  <si>
    <t xml:space="preserve">2025</t>
  </si>
  <si>
    <t xml:space="preserve">2026</t>
  </si>
  <si>
    <t xml:space="preserve">Revenue</t>
  </si>
  <si>
    <t xml:space="preserve">COGS</t>
  </si>
  <si>
    <t xml:space="preserve">Gross profit</t>
  </si>
  <si>
    <t xml:space="preserve">Administrative</t>
  </si>
  <si>
    <t xml:space="preserve">Selling &amp; distribution</t>
  </si>
  <si>
    <t xml:space="preserve">Other opex</t>
  </si>
  <si>
    <t xml:space="preserve">EBITDA</t>
  </si>
  <si>
    <t xml:space="preserve">Average inventory (RM m)</t>
  </si>
  <si>
    <t xml:space="preserve">Inventory write-offs (RM k)</t>
  </si>
  <si>
    <t xml:space="preserve">Emergency procurement (RM k)</t>
  </si>
  <si>
    <t xml:space="preserve">Overtime (RM k)</t>
  </si>
  <si>
    <t xml:space="preserve">Rework rate (%)</t>
  </si>
  <si>
    <t xml:space="preserve">On-time delivery (%)</t>
  </si>
  <si>
    <t xml:space="preserve">Stock accuracy (%)</t>
  </si>
  <si>
    <t xml:space="preserve">Option parameters</t>
  </si>
  <si>
    <t xml:space="preserve">Parameter</t>
  </si>
  <si>
    <t xml:space="preserve">A</t>
  </si>
  <si>
    <t xml:space="preserve">B</t>
  </si>
  <si>
    <t xml:space="preserve">C</t>
  </si>
  <si>
    <t xml:space="preserve">Note</t>
  </si>
  <si>
    <t xml:space="preserve">Capture: emergency procurement pool</t>
  </si>
  <si>
    <t xml:space="preserve">Share of excess premium removed</t>
  </si>
  <si>
    <t xml:space="preserve">Capture: write-off pool</t>
  </si>
  <si>
    <t xml:space="preserve">Capture: overtime pool</t>
  </si>
  <si>
    <t xml:space="preserve">Planning/material availability only</t>
  </si>
  <si>
    <t xml:space="preserve">Capture: rework pool</t>
  </si>
  <si>
    <t xml:space="preserve">Only traceability/revision control; no credit for calibration, operators</t>
  </si>
  <si>
    <t xml:space="preserve">Sourcing saving % of material spend</t>
  </si>
  <si>
    <t xml:space="preserve">Spend visibility, price compliance</t>
  </si>
  <si>
    <t xml:space="preserve">OTD improvement credited (pp)</t>
  </si>
  <si>
    <t xml:space="preserve">pp</t>
  </si>
  <si>
    <t xml:space="preserve">Mgmt claims 3 / 7 / 10</t>
  </si>
  <si>
    <t xml:space="preserve">PO processing time reduction credited</t>
  </si>
  <si>
    <t xml:space="preserve">Mgmt claims 19% / 48% / 62%</t>
  </si>
  <si>
    <t xml:space="preserve">Monthly reporting hours after</t>
  </si>
  <si>
    <t xml:space="preserve">Mgmt claims 190 / 95 / 55</t>
  </si>
  <si>
    <t xml:space="preserve">Inventory accuracy after</t>
  </si>
  <si>
    <t xml:space="preserve">Mgmt claims 91 / 96 / 98</t>
  </si>
  <si>
    <t xml:space="preserve">Inventory days after</t>
  </si>
  <si>
    <t xml:space="preserve">Mgmt claims 74 / 67 / 60</t>
  </si>
  <si>
    <t xml:space="preserve">Vendor estimate - initial</t>
  </si>
  <si>
    <t xml:space="preserve">Preliminary, not binding</t>
  </si>
  <si>
    <t xml:space="preserve">Complexity factor on overrun</t>
  </si>
  <si>
    <t xml:space="preserve">Higher for multi-module / analytics</t>
  </si>
  <si>
    <t xml:space="preserve">Internal backfill &amp; key-user time (one-time)</t>
  </si>
  <si>
    <t xml:space="preserve">NOT in vendor estimates</t>
  </si>
  <si>
    <t xml:space="preserve">Cybersecurity set-up (one-time)</t>
  </si>
  <si>
    <t xml:space="preserve">Access control, MFA, backup/DR test, vendor assurance</t>
  </si>
  <si>
    <t xml:space="preserve">Scanning hardware &amp; labels (one-time)</t>
  </si>
  <si>
    <t xml:space="preserve">NOT in vendor estimates; needed for accuracy benefit</t>
  </si>
  <si>
    <t xml:space="preserve">Licence &amp; support p.a.</t>
  </si>
  <si>
    <t xml:space="preserve">Vendor estimate</t>
  </si>
  <si>
    <t xml:space="preserve">ERP admin / retained consultant p.a.</t>
  </si>
  <si>
    <t xml:space="preserve">~0.5-1.5 FTE equivalent</t>
  </si>
  <si>
    <t xml:space="preserve">Cybersecurity &amp; governance p.a.</t>
  </si>
  <si>
    <t xml:space="preserve">Monitoring, pen-test, access reviews</t>
  </si>
  <si>
    <t xml:space="preserve">Go-live month (benefits start after)</t>
  </si>
  <si>
    <t xml:space="preserve">month</t>
  </si>
  <si>
    <t xml:space="preserve">B/C include ~2 months vendor selection</t>
  </si>
  <si>
    <t xml:space="preserve">Ramp to full benefit (months)</t>
  </si>
  <si>
    <t xml:space="preserve">WC release ramp (months)</t>
  </si>
  <si>
    <t xml:space="preserve">Licence start month</t>
  </si>
  <si>
    <t xml:space="preserve">Admin/cyber start month</t>
  </si>
  <si>
    <t xml:space="preserve">Hire/appoint ~3 months before go-live</t>
  </si>
  <si>
    <t xml:space="preserve">Management-claims overrides (used only when scenario = 4)</t>
  </si>
  <si>
    <t xml:space="preserve">PO processing time reduction claimed</t>
  </si>
  <si>
    <t xml:space="preserve">Reporting hours after (claimed)</t>
  </si>
  <si>
    <t xml:space="preserve">Inventory accuracy (claimed)</t>
  </si>
  <si>
    <t xml:space="preserve">Inventory days (claimed)</t>
  </si>
  <si>
    <t xml:space="preserve">OTD improvement claimed (pp)</t>
  </si>
  <si>
    <t xml:space="preserve">Rework pool captured (claimed)</t>
  </si>
  <si>
    <t xml:space="preserve">Phased route (P) parameters</t>
  </si>
  <si>
    <t xml:space="preserve">Front-end go-live month (process, master data)</t>
  </si>
  <si>
    <t xml:space="preserve">Front-end ramp (months)</t>
  </si>
  <si>
    <t xml:space="preserve">ERP go-live month</t>
  </si>
  <si>
    <t xml:space="preserve">ERP ramp (months)</t>
  </si>
  <si>
    <t xml:space="preserve">Extra vendor cost (process redesign 90k + data clean 30k - migration saving 30k)</t>
  </si>
  <si>
    <t xml:space="preserve">Extra backfill</t>
  </si>
  <si>
    <t xml:space="preserve">Baseline diagnostic: margin bridge, cost of inefficiency and avoidable pools</t>
  </si>
  <si>
    <t xml:space="preserve">All numbers formula-driven from Assumptions. "Normalised" = 2024 intensity scaled to 2026 revenue.</t>
  </si>
  <si>
    <t xml:space="preserve">Revenue scaling factor 2026/2024</t>
  </si>
  <si>
    <t xml:space="preserve">1. EBITDA bridge 2024 -&gt; 2026 (RM m)</t>
  </si>
  <si>
    <t xml:space="preserve">RM m</t>
  </si>
  <si>
    <t xml:space="preserve">Comment</t>
  </si>
  <si>
    <t xml:space="preserve">EBITDA 2024</t>
  </si>
  <si>
    <t xml:space="preserve">Volume effect at constant 2024 margin</t>
  </si>
  <si>
    <t xml:space="preserve">Growth alone would have lifted EBITDA</t>
  </si>
  <si>
    <t xml:space="preserve">Gross margin erosion</t>
  </si>
  <si>
    <t xml:space="preserve">-2.2pp x 2026 revenue</t>
  </si>
  <si>
    <t xml:space="preserve">Admin cost vs 2024 intensity</t>
  </si>
  <si>
    <t xml:space="preserve">In line with growth</t>
  </si>
  <si>
    <t xml:space="preserve">Selling &amp; distribution vs 2024 intensity</t>
  </si>
  <si>
    <t xml:space="preserve">Other opex vs 2024 intensity</t>
  </si>
  <si>
    <t xml:space="preserve">Unexplained increase</t>
  </si>
  <si>
    <t xml:space="preserve">EBITDA 2026 (check)</t>
  </si>
  <si>
    <t xml:space="preserve">Reported 5.35</t>
  </si>
  <si>
    <t xml:space="preserve">2. Is gross margin erosion operational or material cost? (RM k)</t>
  </si>
  <si>
    <t xml:space="preserve">Component</t>
  </si>
  <si>
    <t xml:space="preserve">RM k</t>
  </si>
  <si>
    <t xml:space="preserve">% of GP gap</t>
  </si>
  <si>
    <t xml:space="preserve">Evidence</t>
  </si>
  <si>
    <t xml:space="preserve">Gross-profit gap vs 2024 margin</t>
  </si>
  <si>
    <t xml:space="preserve">Emergency procurement (excess over normalised 2024)</t>
  </si>
  <si>
    <t xml:space="preserve">Exhibit 2</t>
  </si>
  <si>
    <t xml:space="preserve">Inventory write-offs (excess)</t>
  </si>
  <si>
    <t xml:space="preserve">Overtime (excess)</t>
  </si>
  <si>
    <t xml:space="preserve">Exhibit 5</t>
  </si>
  <si>
    <t xml:space="preserve">Rework (excess rate x COGS x conversion share)</t>
  </si>
  <si>
    <t xml:space="preserve">ESTIMATE - rework cost assumption</t>
  </si>
  <si>
    <t xml:space="preserve">Identified operational leakage</t>
  </si>
  <si>
    <t xml:space="preserve">  of which excluding rework estimate</t>
  </si>
  <si>
    <t xml:space="preserve">Residual: material price / mix / pricing / unexplained</t>
  </si>
  <si>
    <t xml:space="preserve">Cannot be verified: no commodity price index, PPV or pass-through data supplied</t>
  </si>
  <si>
    <t xml:space="preserve">3. Avoidable annual pools at 2026 volume (RM) - feed the Benefits sheet</t>
  </si>
  <si>
    <t xml:space="preserve">Pool</t>
  </si>
  <si>
    <t xml:space="preserve">Nature</t>
  </si>
  <si>
    <t xml:space="preserve">Emergency procurement premium</t>
  </si>
  <si>
    <t xml:space="preserve">Cash (P&amp;L)</t>
  </si>
  <si>
    <t xml:space="preserve">Inventory write-offs</t>
  </si>
  <si>
    <t xml:space="preserve">Overtime</t>
  </si>
  <si>
    <t xml:space="preserve">Rework</t>
  </si>
  <si>
    <t xml:space="preserve">Cash (P&amp;L) - weak causal link to ERP</t>
  </si>
  <si>
    <t xml:space="preserve">PO processing labour (hours)</t>
  </si>
  <si>
    <t xml:space="preserve">Capacity (hours)</t>
  </si>
  <si>
    <t xml:space="preserve">Reporting labour (hours)</t>
  </si>
  <si>
    <t xml:space="preserve">Search / recount labour (hours)</t>
  </si>
  <si>
    <t xml:space="preserve">Material spend (RM)</t>
  </si>
  <si>
    <t xml:space="preserve">Base for sourcing saving</t>
  </si>
  <si>
    <t xml:space="preserve">Rate: procurement RM/hr</t>
  </si>
  <si>
    <t xml:space="preserve">Rate: finance RM/hr</t>
  </si>
  <si>
    <t xml:space="preserve">Rate: warehouse RM/hr</t>
  </si>
  <si>
    <t xml:space="preserve">COGS per day (RM)</t>
  </si>
  <si>
    <t xml:space="preserve">WC conversion</t>
  </si>
  <si>
    <t xml:space="preserve">4. Working capital: reducing inventory days (79 -&gt; 65) at 2026 COGS</t>
  </si>
  <si>
    <t xml:space="preserve">Daily COGS (RM)</t>
  </si>
  <si>
    <t xml:space="preserve">Current inventory days</t>
  </si>
  <si>
    <t xml:space="preserve">Target inventory days</t>
  </si>
  <si>
    <t xml:space="preserve">Days reduced</t>
  </si>
  <si>
    <t xml:space="preserve">Working capital released (RM) - ONE-TIME CASH</t>
  </si>
  <si>
    <t xml:space="preserve">Cash released once; not an annual saving</t>
  </si>
  <si>
    <t xml:space="preserve">Cross-check: balance-based (8.1m - 65 days x COGS/365)</t>
  </si>
  <si>
    <t xml:space="preserve">Memo: financing cost avoided at 6% (NOT counted in NPV)</t>
  </si>
  <si>
    <t xml:space="preserve">Recurring cash holding cost saved (2%) - operating saving</t>
  </si>
  <si>
    <t xml:space="preserve">One-time liquidation haircut (5%) - cost</t>
  </si>
  <si>
    <t xml:space="preserve">5. Procurement labour and time-saving sensitivity</t>
  </si>
  <si>
    <t xml:space="preserve">Time reduction</t>
  </si>
  <si>
    <t xml:space="preserve">Hours saved</t>
  </si>
  <si>
    <t xml:space="preserve">RM value of time</t>
  </si>
  <si>
    <t xml:space="preserve">Payroll cash saved (8 FTE retained)</t>
  </si>
  <si>
    <t xml:space="preserve">FTE-equivalent</t>
  </si>
  <si>
    <t xml:space="preserve">Current PO labour cost (RM)</t>
  </si>
  <si>
    <t xml:space="preserve">Share of 8-FTE procurement capacity</t>
  </si>
  <si>
    <t xml:space="preserve">Payroll saved is zero by design: 8 staff retained; value arises only as redeployed capacity (supplier management, expediting prevention) at the monetised share.</t>
  </si>
  <si>
    <t xml:space="preserve">6. Overlap map: where each cost is counted once</t>
  </si>
  <si>
    <t xml:space="preserve">Cost / effect</t>
  </si>
  <si>
    <t xml:space="preserve">Counted in</t>
  </si>
  <si>
    <t xml:space="preserve">Overlaps with</t>
  </si>
  <si>
    <t xml:space="preserve">Treatment</t>
  </si>
  <si>
    <t xml:space="preserve">Emergency premium</t>
  </si>
  <si>
    <t xml:space="preserve">Emergency line</t>
  </si>
  <si>
    <t xml:space="preserve">Duplicate POs, stockouts</t>
  </si>
  <si>
    <t xml:space="preserve">Counted once as premium; duplicate-PO value NOT added separately</t>
  </si>
  <si>
    <t xml:space="preserve">Duplicate / excess stock</t>
  </si>
  <si>
    <t xml:space="preserve">WC release (one-time)</t>
  </si>
  <si>
    <t xml:space="preserve">Write-offs, holding cost</t>
  </si>
  <si>
    <t xml:space="preserve">Stock value = WC; only the write-off excess and 2% holding are P&amp;L</t>
  </si>
  <si>
    <t xml:space="preserve">Search labour</t>
  </si>
  <si>
    <t xml:space="preserve">Capacity line (x monetised share)</t>
  </si>
  <si>
    <t xml:space="preserve">Stockout downtime, overtime</t>
  </si>
  <si>
    <t xml:space="preserve">Hours valued once; downtime valued via overtime only</t>
  </si>
  <si>
    <t xml:space="preserve">Production interruption</t>
  </si>
  <si>
    <t xml:space="preserve">Overtime line (recovery cost)</t>
  </si>
  <si>
    <t xml:space="preserve">Search labour, emergency freight</t>
  </si>
  <si>
    <t xml:space="preserve">No standalone line (no stoppage log exists)</t>
  </si>
  <si>
    <t xml:space="preserve">Late deliveries</t>
  </si>
  <si>
    <t xml:space="preserve">OTD retention line</t>
  </si>
  <si>
    <t xml:space="preserve">Overtime, expedite</t>
  </si>
  <si>
    <t xml:space="preserve">Margin on retained revenue only; no penalties assumed</t>
  </si>
  <si>
    <t xml:space="preserve">Financing cost of inventory</t>
  </si>
  <si>
    <t xml:space="preserve">Memo only</t>
  </si>
  <si>
    <t xml:space="preserve">WC release</t>
  </si>
  <si>
    <t xml:space="preserve">Excluded: discount rate already prices cash</t>
  </si>
  <si>
    <t xml:space="preserve">PO / report hours</t>
  </si>
  <si>
    <t xml:space="preserve">Capacity line</t>
  </si>
  <si>
    <t xml:space="preserve">-</t>
  </si>
  <si>
    <t xml:space="preserve">Not payroll savings (headcount retained)</t>
  </si>
  <si>
    <t xml:space="preserve">Monthly adoption ramps (0-1) and annual averages</t>
  </si>
  <si>
    <t xml:space="preserve">ramp(m) = MIN(1, MAX(0, (m - (go-live + delay)) / (ramp months x adoption multiplier)))</t>
  </si>
  <si>
    <t xml:space="preserve">Month</t>
  </si>
  <si>
    <t xml:space="preserve">Curve</t>
  </si>
  <si>
    <t xml:space="preserve">Year avg -&gt;</t>
  </si>
  <si>
    <t xml:space="preserve">M1</t>
  </si>
  <si>
    <t xml:space="preserve">M2</t>
  </si>
  <si>
    <t xml:space="preserve">M3</t>
  </si>
  <si>
    <t xml:space="preserve">M4</t>
  </si>
  <si>
    <t xml:space="preserve">M5</t>
  </si>
  <si>
    <t xml:space="preserve">M6</t>
  </si>
  <si>
    <t xml:space="preserve">M7</t>
  </si>
  <si>
    <t xml:space="preserve">M8</t>
  </si>
  <si>
    <t xml:space="preserve">M9</t>
  </si>
  <si>
    <t xml:space="preserve">M10</t>
  </si>
  <si>
    <t xml:space="preserve">M11</t>
  </si>
  <si>
    <t xml:space="preserve">M12</t>
  </si>
  <si>
    <t xml:space="preserve">M13</t>
  </si>
  <si>
    <t xml:space="preserve">M14</t>
  </si>
  <si>
    <t xml:space="preserve">M15</t>
  </si>
  <si>
    <t xml:space="preserve">M16</t>
  </si>
  <si>
    <t xml:space="preserve">M17</t>
  </si>
  <si>
    <t xml:space="preserve">M18</t>
  </si>
  <si>
    <t xml:space="preserve">M19</t>
  </si>
  <si>
    <t xml:space="preserve">M20</t>
  </si>
  <si>
    <t xml:space="preserve">M21</t>
  </si>
  <si>
    <t xml:space="preserve">M22</t>
  </si>
  <si>
    <t xml:space="preserve">M23</t>
  </si>
  <si>
    <t xml:space="preserve">M24</t>
  </si>
  <si>
    <t xml:space="preserve">M25</t>
  </si>
  <si>
    <t xml:space="preserve">M26</t>
  </si>
  <si>
    <t xml:space="preserve">M27</t>
  </si>
  <si>
    <t xml:space="preserve">M28</t>
  </si>
  <si>
    <t xml:space="preserve">M29</t>
  </si>
  <si>
    <t xml:space="preserve">M30</t>
  </si>
  <si>
    <t xml:space="preserve">M31</t>
  </si>
  <si>
    <t xml:space="preserve">M32</t>
  </si>
  <si>
    <t xml:space="preserve">M33</t>
  </si>
  <si>
    <t xml:space="preserve">M34</t>
  </si>
  <si>
    <t xml:space="preserve">M35</t>
  </si>
  <si>
    <t xml:space="preserve">M36</t>
  </si>
  <si>
    <t xml:space="preserve">M37</t>
  </si>
  <si>
    <t xml:space="preserve">M38</t>
  </si>
  <si>
    <t xml:space="preserve">M39</t>
  </si>
  <si>
    <t xml:space="preserve">M40</t>
  </si>
  <si>
    <t xml:space="preserve">M41</t>
  </si>
  <si>
    <t xml:space="preserve">M42</t>
  </si>
  <si>
    <t xml:space="preserve">M43</t>
  </si>
  <si>
    <t xml:space="preserve">M44</t>
  </si>
  <si>
    <t xml:space="preserve">M45</t>
  </si>
  <si>
    <t xml:space="preserve">M46</t>
  </si>
  <si>
    <t xml:space="preserve">M47</t>
  </si>
  <si>
    <t xml:space="preserve">M48</t>
  </si>
  <si>
    <t xml:space="preserve">M49</t>
  </si>
  <si>
    <t xml:space="preserve">M50</t>
  </si>
  <si>
    <t xml:space="preserve">M51</t>
  </si>
  <si>
    <t xml:space="preserve">M52</t>
  </si>
  <si>
    <t xml:space="preserve">M53</t>
  </si>
  <si>
    <t xml:space="preserve">M54</t>
  </si>
  <si>
    <t xml:space="preserve">M55</t>
  </si>
  <si>
    <t xml:space="preserve">M56</t>
  </si>
  <si>
    <t xml:space="preserve">M57</t>
  </si>
  <si>
    <t xml:space="preserve">M58</t>
  </si>
  <si>
    <t xml:space="preserve">M59</t>
  </si>
  <si>
    <t xml:space="preserve">M60</t>
  </si>
  <si>
    <t xml:space="preserve">Annual avg Y1-Y5 -&gt;</t>
  </si>
  <si>
    <t xml:space="preserve">Year-end Y1-Y5 -&gt;</t>
  </si>
  <si>
    <t xml:space="preserve">A benefit</t>
  </si>
  <si>
    <t xml:space="preserve">B benefit</t>
  </si>
  <si>
    <t xml:space="preserve">C benefit</t>
  </si>
  <si>
    <t xml:space="preserve">A WC</t>
  </si>
  <si>
    <t xml:space="preserve">B WC</t>
  </si>
  <si>
    <t xml:space="preserve">C WC</t>
  </si>
  <si>
    <t xml:space="preserve">P front benefit</t>
  </si>
  <si>
    <t xml:space="preserve">P ERP benefit</t>
  </si>
  <si>
    <t xml:space="preserve">P front WC</t>
  </si>
  <si>
    <t xml:space="preserve">P ERP WC</t>
  </si>
  <si>
    <t xml:space="preserve">Benefit build by option (RM)</t>
  </si>
  <si>
    <t xml:space="preserve">Steady-state annual benefit (2026 volume) x ramp x volume index x realisation. WC release is NOT in this sheet.</t>
  </si>
  <si>
    <t xml:space="preserve">Year</t>
  </si>
  <si>
    <t xml:space="preserve">Steady-state</t>
  </si>
  <si>
    <t xml:space="preserve">Volume index</t>
  </si>
  <si>
    <t xml:space="preserve">Realisation</t>
  </si>
  <si>
    <t xml:space="preserve">Option A - steady-state and annual benefits</t>
  </si>
  <si>
    <t xml:space="preserve">Benefit line</t>
  </si>
  <si>
    <t xml:space="preserve">Steady-state (RM)</t>
  </si>
  <si>
    <t xml:space="preserve">2027</t>
  </si>
  <si>
    <t xml:space="preserve">2028</t>
  </si>
  <si>
    <t xml:space="preserve">2029</t>
  </si>
  <si>
    <t xml:space="preserve">2030</t>
  </si>
  <si>
    <t xml:space="preserve">2031</t>
  </si>
  <si>
    <t xml:space="preserve">Inventory write-offs / obsolescence</t>
  </si>
  <si>
    <t xml:space="preserve">Overtime avoided</t>
  </si>
  <si>
    <t xml:space="preserve">Rework (traceability/version control only)</t>
  </si>
  <si>
    <t xml:space="preserve">Sourcing / price compliance</t>
  </si>
  <si>
    <t xml:space="preserve">Customer retention (OTD)</t>
  </si>
  <si>
    <t xml:space="preserve">Capacity released x monetised share</t>
  </si>
  <si>
    <t xml:space="preserve">Cash holding cost saved (2%)</t>
  </si>
  <si>
    <t xml:space="preserve">Total operating benefits - Option A</t>
  </si>
  <si>
    <t xml:space="preserve">Option B - steady-state and annual benefits</t>
  </si>
  <si>
    <t xml:space="preserve">Total operating benefits - Option B</t>
  </si>
  <si>
    <t xml:space="preserve">Option C - steady-state and annual benefits</t>
  </si>
  <si>
    <t xml:space="preserve">Total operating benefits - Option C</t>
  </si>
  <si>
    <t xml:space="preserve">Option P (phased) - A-like benefits from process front-end + incremental B benefits after ERP go-live</t>
  </si>
  <si>
    <t xml:space="preserve">Total operating benefits - Option P</t>
  </si>
  <si>
    <t xml:space="preserve">Cash flows, working capital and investment metrics (RM)</t>
  </si>
  <si>
    <t xml:space="preserve">t=0 is start of 2027. Operating cash flows exclude working-capital release; WC shown separately.</t>
  </si>
  <si>
    <t xml:space="preserve">Option A: Process improvement</t>
  </si>
  <si>
    <t xml:space="preserve">Line</t>
  </si>
  <si>
    <t xml:space="preserve">t=0</t>
  </si>
  <si>
    <t xml:space="preserve">Total</t>
  </si>
  <si>
    <t xml:space="preserve">Initial investment: vendor estimate incl. overrun</t>
  </si>
  <si>
    <t xml:space="preserve">Initial investment: backfill, cyber set-up, hardware</t>
  </si>
  <si>
    <t xml:space="preserve">Total initial investment</t>
  </si>
  <si>
    <t xml:space="preserve">Operating benefits (from Benefits sheet)</t>
  </si>
  <si>
    <t xml:space="preserve">Licence &amp; support (with inflation, pro-rata Y1)</t>
  </si>
  <si>
    <t xml:space="preserve">ERP admin / retained consultant + cybersecurity &amp; governance</t>
  </si>
  <si>
    <t xml:space="preserve">Net operating cash flow (recurring)</t>
  </si>
  <si>
    <t xml:space="preserve">Working capital: inventory days reduction at year-end</t>
  </si>
  <si>
    <t xml:space="preserve">Cumulative inventory reduction at year-end (RM)</t>
  </si>
  <si>
    <t xml:space="preserve">WC release in year (one-time cash inflow)</t>
  </si>
  <si>
    <t xml:space="preserve">Liquidation haircut on released stock (one-time cost)</t>
  </si>
  <si>
    <t xml:space="preserve">Net working-capital cash flow</t>
  </si>
  <si>
    <t xml:space="preserve">Memo: interest saved on released stock at 6% (NOT in NPV)</t>
  </si>
  <si>
    <t xml:space="preserve">Total cash flow incl. WC</t>
  </si>
  <si>
    <t xml:space="preserve">Cumulative cash flow incl. WC</t>
  </si>
  <si>
    <t xml:space="preserve">Discount factor</t>
  </si>
  <si>
    <t xml:space="preserve">Discounted cash flow incl. WC</t>
  </si>
  <si>
    <t xml:space="preserve">Cumulative discounted cash flow incl. WC</t>
  </si>
  <si>
    <t xml:space="preserve">Cash flow excl. WC (operating only)</t>
  </si>
  <si>
    <t xml:space="preserve">Cumulative cash flow excl. WC</t>
  </si>
  <si>
    <t xml:space="preserve">Discounted cash flow excl. WC</t>
  </si>
  <si>
    <t xml:space="preserve">Metrics</t>
  </si>
  <si>
    <t xml:space="preserve">NPV incl. WC @ discount rate</t>
  </si>
  <si>
    <t xml:space="preserve">NPV excl. WC (recurring operating cash only)</t>
  </si>
  <si>
    <t xml:space="preserve">IRR excl. WC</t>
  </si>
  <si>
    <t xml:space="preserve">5-year ROI incl. WC (net gain / initial investment)</t>
  </si>
  <si>
    <t xml:space="preserve">Simple payback excl. WC (months)</t>
  </si>
  <si>
    <t xml:space="preserve">Peak cumulative cash exposure incl. WC (RM)</t>
  </si>
  <si>
    <t xml:space="preserve">Option B: Cloud ERP</t>
  </si>
  <si>
    <t xml:space="preserve">Option C: ERP + analytics</t>
  </si>
  <si>
    <t xml:space="preserve">Option P: Phased (process-first, gated ERP)</t>
  </si>
  <si>
    <t xml:space="preserve">Scenario and sensitivity results (values from Python replica of this model)</t>
  </si>
  <si>
    <t xml:space="preserve">Reproduce any scenario live by setting Assumptions!C4. Sensitivities are NPV incl. WC (RM k) with other levers at Base.</t>
  </si>
  <si>
    <t xml:space="preserve">Scenario</t>
  </si>
  <si>
    <t xml:space="preserve">Option</t>
  </si>
  <si>
    <t xml:space="preserve">Initial invest (RM)</t>
  </si>
  <si>
    <t xml:space="preserve">NPV incl WC</t>
  </si>
  <si>
    <t xml:space="preserve">NPV excl WC</t>
  </si>
  <si>
    <t xml:space="preserve">IRR incl WC</t>
  </si>
  <si>
    <t xml:space="preserve">5-yr ROI incl WC</t>
  </si>
  <si>
    <t xml:space="preserve">Simple payback (m)</t>
  </si>
  <si>
    <t xml:space="preserve">Disc. payback (m)</t>
  </si>
  <si>
    <t xml:space="preserve">none</t>
  </si>
  <si>
    <t xml:space="preserve">P</t>
  </si>
  <si>
    <t xml:space="preserve">n/a</t>
  </si>
  <si>
    <t xml:space="preserve">Management claims</t>
  </si>
  <si>
    <t xml:space="preserve">One-at-a-time sensitivities: NPV incl. WC (RM)</t>
  </si>
  <si>
    <t xml:space="preserve">Implementation delay (months)</t>
  </si>
  <si>
    <t xml:space="preserve">Value</t>
  </si>
  <si>
    <t xml:space="preserve">Adoption (ramp multiplier)</t>
  </si>
  <si>
    <t xml:space="preserve">Break-even values (NPV incl. WC = 0), Base case</t>
  </si>
  <si>
    <t xml:space="preserve">Break-even driver</t>
  </si>
  <si>
    <t xml:space="preserve">Benefit realisation (x of credited benefits)</t>
  </si>
  <si>
    <t xml:space="preserve">Licence fee multiplier (x vendor licence)</t>
  </si>
  <si>
    <t xml:space="preserve">Vendor implementation multiplier</t>
  </si>
  <si>
    <t xml:space="preserve">Inventory days achieved by ERP</t>
  </si>
  <si>
    <t xml:space="preserve">Target commercial terms test (vendor B RM 700k, licence RM 180k p.a.)</t>
  </si>
  <si>
    <t xml:space="preserve">Case</t>
  </si>
  <si>
    <t xml:space="preserve">Route</t>
  </si>
  <si>
    <t xml:space="preserve">IRR</t>
  </si>
  <si>
    <t xml:space="preserve">Terms only</t>
  </si>
  <si>
    <t xml:space="preserve">Terms + ERP achieves 66 days</t>
  </si>
  <si>
    <t xml:space="preserve">Management KPI claims vs consultant-credited values</t>
  </si>
  <si>
    <t xml:space="preserve">Only benefits with a credible causal mechanism enter the model.</t>
  </si>
  <si>
    <t xml:space="preserve">KPI</t>
  </si>
  <si>
    <t xml:space="preserve">Current</t>
  </si>
  <si>
    <t xml:space="preserve">Mgmt A</t>
  </si>
  <si>
    <t xml:space="preserve">Mgmt B</t>
  </si>
  <si>
    <t xml:space="preserve">Mgmt C</t>
  </si>
  <si>
    <t xml:space="preserve">Credited A</t>
  </si>
  <si>
    <t xml:space="preserve">Credited B</t>
  </si>
  <si>
    <t xml:space="preserve">Credited C</t>
  </si>
  <si>
    <t xml:space="preserve">Challenge / causal mechanism</t>
  </si>
  <si>
    <t xml:space="preserve">Inventory accuracy</t>
  </si>
  <si>
    <t xml:space="preserve">ERP records transactions; accuracy needs cycle counts, bin locations, scanning (hardware not in vendor quotes).</t>
  </si>
  <si>
    <t xml:space="preserve">Inventory days</t>
  </si>
  <si>
    <t xml:space="preserve">C=60 is below 2024 level (64) with data too immature for forecasting-driven safety-stock cuts.</t>
  </si>
  <si>
    <t xml:space="preserve">On-time delivery</t>
  </si>
  <si>
    <t xml:space="preserve">Depends on material availability AND capacity/schedule discipline, not software alone.</t>
  </si>
  <si>
    <t xml:space="preserve">PO processing (min)</t>
  </si>
  <si>
    <t xml:space="preserve">No time study. Credited 12/35/42% reduction; auto-PO needs clean item/supplier master.</t>
  </si>
  <si>
    <t xml:space="preserve">Residual validation, ad hoc and management commentary hours remain.</t>
  </si>
  <si>
    <t xml:space="preserve">Schedule adherence</t>
  </si>
  <si>
    <t xml:space="preserve">Needs freeze windows and change control first; APS adds little before data is clean.</t>
  </si>
  <si>
    <t xml:space="preserve">Rework rate</t>
  </si>
  <si>
    <t xml:space="preserve">ERP does not fix calibration, material quality or operator skill; credit limited to traceability / revision control.</t>
  </si>
  <si>
    <t xml:space="preserve">Note: credited PO minutes / hours in model are driven by % reductions on Assumptions; this sheet is a reference for the challenge.</t>
  </si>
</sst>
</file>

<file path=xl/styles.xml><?xml version="1.0" encoding="utf-8"?>
<styleSheet xmlns="http://schemas.openxmlformats.org/spreadsheetml/2006/main">
  <numFmts count="14">
    <numFmt numFmtId="164" formatCode="General"/>
    <numFmt numFmtId="165" formatCode="#,##0;\(#,##0\);\-"/>
    <numFmt numFmtId="166" formatCode="0.0%;\(0.0%\);\-"/>
    <numFmt numFmtId="167" formatCode="0.0"/>
    <numFmt numFmtId="168" formatCode="0.00"/>
    <numFmt numFmtId="169" formatCode="0.00%"/>
    <numFmt numFmtId="170" formatCode="#,##0.00"/>
    <numFmt numFmtId="171" formatCode="#,##0"/>
    <numFmt numFmtId="172" formatCode="0.0##"/>
    <numFmt numFmtId="173" formatCode="0"/>
    <numFmt numFmtId="174" formatCode="0.000"/>
    <numFmt numFmtId="175" formatCode="0.00;\(0.00\)"/>
    <numFmt numFmtId="176" formatCode="0%"/>
    <numFmt numFmtId="177" formatCode="0.0%"/>
  </numFmts>
  <fonts count="13">
    <font>
      <sz val="11"/>
      <color theme="1"/>
      <name val="Calibri"/>
      <family val="2"/>
      <charset val="1"/>
    </font>
    <font>
      <sz val="10"/>
      <name val="Arial"/>
      <family val="0"/>
    </font>
    <font>
      <sz val="10"/>
      <name val="Arial"/>
      <family val="0"/>
    </font>
    <font>
      <sz val="10"/>
      <name val="Arial"/>
      <family val="0"/>
    </font>
    <font>
      <b val="true"/>
      <sz val="14"/>
      <color rgb="FF1F3A4D"/>
      <name val="Arial"/>
      <family val="0"/>
      <charset val="1"/>
    </font>
    <font>
      <i val="true"/>
      <sz val="9"/>
      <color rgb="FF555555"/>
      <name val="Arial"/>
      <family val="0"/>
      <charset val="1"/>
    </font>
    <font>
      <b val="true"/>
      <sz val="10"/>
      <name val="Arial"/>
      <family val="0"/>
      <charset val="1"/>
    </font>
    <font>
      <sz val="10"/>
      <name val="Arial"/>
      <family val="0"/>
      <charset val="1"/>
    </font>
    <font>
      <b val="true"/>
      <sz val="10"/>
      <color rgb="FF008000"/>
      <name val="Arial"/>
      <family val="0"/>
      <charset val="1"/>
    </font>
    <font>
      <b val="true"/>
      <sz val="10"/>
      <color rgb="FFFFFFFF"/>
      <name val="Arial"/>
      <family val="0"/>
      <charset val="1"/>
    </font>
    <font>
      <sz val="10"/>
      <color rgb="FF008000"/>
      <name val="Arial"/>
      <family val="0"/>
      <charset val="1"/>
    </font>
    <font>
      <sz val="10"/>
      <color rgb="FF0000FF"/>
      <name val="Arial"/>
      <family val="0"/>
      <charset val="1"/>
    </font>
    <font>
      <i val="true"/>
      <sz val="10"/>
      <color rgb="FF777777"/>
      <name val="Arial"/>
      <family val="0"/>
      <charset val="1"/>
    </font>
  </fonts>
  <fills count="4">
    <fill>
      <patternFill patternType="none"/>
    </fill>
    <fill>
      <patternFill patternType="gray125"/>
    </fill>
    <fill>
      <patternFill patternType="solid">
        <fgColor rgb="FF1F3A4D"/>
        <bgColor rgb="FF003366"/>
      </patternFill>
    </fill>
    <fill>
      <patternFill patternType="solid">
        <fgColor rgb="FFFFFF00"/>
        <bgColor rgb="FFFFFF0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center" vertical="center"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4" fontId="11" fillId="3"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7" fontId="11"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8" fontId="11" fillId="0" borderId="0" xfId="0" applyFont="true" applyBorder="false" applyAlignment="false" applyProtection="false">
      <alignment horizontal="general" vertical="bottom" textRotation="0" wrapText="false" indent="0" shrinkToFit="false"/>
      <protection locked="true" hidden="false"/>
    </xf>
    <xf numFmtId="166" fontId="11" fillId="3"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9" fontId="11" fillId="0" borderId="0" xfId="0" applyFont="true" applyBorder="false" applyAlignment="false" applyProtection="false">
      <alignment horizontal="general" vertical="bottom" textRotation="0" wrapText="false" indent="0" shrinkToFit="false"/>
      <protection locked="true" hidden="false"/>
    </xf>
    <xf numFmtId="170" fontId="11" fillId="0" borderId="0" xfId="0" applyFont="true" applyBorder="false" applyAlignment="false" applyProtection="false">
      <alignment horizontal="general" vertical="bottom" textRotation="0" wrapText="false" indent="0" shrinkToFit="false"/>
      <protection locked="true" hidden="false"/>
    </xf>
    <xf numFmtId="171" fontId="11" fillId="0" borderId="0" xfId="0" applyFont="true" applyBorder="false" applyAlignment="false" applyProtection="false">
      <alignment horizontal="general" vertical="bottom" textRotation="0" wrapText="false" indent="0" shrinkToFit="false"/>
      <protection locked="true" hidden="false"/>
    </xf>
    <xf numFmtId="172" fontId="11" fillId="0" borderId="0" xfId="0" applyFont="true" applyBorder="false" applyAlignment="false" applyProtection="false">
      <alignment horizontal="general" vertical="bottom" textRotation="0" wrapText="false" indent="0" shrinkToFit="false"/>
      <protection locked="true" hidden="false"/>
    </xf>
    <xf numFmtId="173" fontId="11" fillId="0" borderId="0" xfId="0" applyFont="true" applyBorder="false" applyAlignment="false" applyProtection="false">
      <alignment horizontal="general" vertical="bottom" textRotation="0" wrapText="false" indent="0" shrinkToFit="false"/>
      <protection locked="true" hidden="false"/>
    </xf>
    <xf numFmtId="174" fontId="10" fillId="0" borderId="0" xfId="0" applyFont="true" applyBorder="false" applyAlignment="false" applyProtection="false">
      <alignment horizontal="general" vertical="bottom" textRotation="0" wrapText="false" indent="0" shrinkToFit="false"/>
      <protection locked="true" hidden="false"/>
    </xf>
    <xf numFmtId="175" fontId="10"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76" fontId="11"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65" fontId="12"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76" fontId="7" fillId="0" borderId="0" xfId="0" applyFont="true" applyBorder="false" applyAlignment="false" applyProtection="false">
      <alignment horizontal="general" vertical="bottom" textRotation="0" wrapText="false" indent="0" shrinkToFit="false"/>
      <protection locked="true" hidden="false"/>
    </xf>
    <xf numFmtId="177" fontId="7" fillId="0" borderId="0" xfId="0" applyFont="true" applyBorder="false" applyAlignment="false" applyProtection="false">
      <alignment horizontal="general" vertical="bottom" textRotation="0" wrapText="false" indent="0" shrinkToFit="false"/>
      <protection locked="true" hidden="false"/>
    </xf>
    <xf numFmtId="177" fontId="11"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77777"/>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003366"/>
      <rgbColor rgb="FF339966"/>
      <rgbColor rgb="FF003300"/>
      <rgbColor rgb="FF333300"/>
      <rgbColor rgb="FF993300"/>
      <rgbColor rgb="FF993366"/>
      <rgbColor rgb="FF333399"/>
      <rgbColor rgb="FF1F3A4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130"/>
  </cols>
  <sheetData>
    <row r="1" customFormat="false" ht="17.35" hidden="false" customHeight="false" outlineLevel="0" collapsed="false">
      <c r="A1" s="1" t="s">
        <v>0</v>
      </c>
    </row>
    <row r="2" customFormat="false" ht="15" hidden="false" customHeight="false" outlineLevel="0" collapsed="false">
      <c r="A2" s="2" t="s">
        <v>1</v>
      </c>
    </row>
    <row r="4" customFormat="false" ht="61.5" hidden="false" customHeight="true" outlineLevel="0" collapsed="false">
      <c r="A4" s="3" t="s">
        <v>2</v>
      </c>
      <c r="B4" s="4" t="s">
        <v>3</v>
      </c>
    </row>
    <row r="5" customFormat="false" ht="61.5" hidden="false" customHeight="true" outlineLevel="0" collapsed="false">
      <c r="A5" s="3" t="s">
        <v>4</v>
      </c>
      <c r="B5" s="4" t="s">
        <v>5</v>
      </c>
    </row>
    <row r="6" customFormat="false" ht="61.5" hidden="false" customHeight="true" outlineLevel="0" collapsed="false">
      <c r="A6" s="3" t="s">
        <v>6</v>
      </c>
      <c r="B6" s="4" t="s">
        <v>7</v>
      </c>
    </row>
    <row r="7" customFormat="false" ht="61.5" hidden="false" customHeight="true" outlineLevel="0" collapsed="false">
      <c r="A7" s="3" t="s">
        <v>8</v>
      </c>
      <c r="B7" s="4" t="s">
        <v>9</v>
      </c>
    </row>
    <row r="8" customFormat="false" ht="61.5" hidden="false" customHeight="true" outlineLevel="0" collapsed="false">
      <c r="A8" s="3" t="s">
        <v>10</v>
      </c>
      <c r="B8" s="4" t="s">
        <v>11</v>
      </c>
    </row>
    <row r="9" customFormat="false" ht="61.5" hidden="false" customHeight="true" outlineLevel="0" collapsed="false">
      <c r="A9" s="3" t="s">
        <v>12</v>
      </c>
      <c r="B9" s="4" t="s">
        <v>13</v>
      </c>
    </row>
    <row r="10" customFormat="false" ht="61.5" hidden="false" customHeight="true" outlineLevel="0" collapsed="false">
      <c r="A10" s="3" t="s">
        <v>14</v>
      </c>
      <c r="B10" s="4"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2"/>
    <col collapsed="false" customWidth="true" hidden="false" outlineLevel="0" max="5" min="2" style="0" width="19"/>
    <col collapsed="false" customWidth="true" hidden="false" outlineLevel="0" max="6" min="6" style="0" width="24"/>
  </cols>
  <sheetData>
    <row r="1" customFormat="false" ht="17.35" hidden="false" customHeight="false" outlineLevel="0" collapsed="false">
      <c r="A1" s="1" t="s">
        <v>16</v>
      </c>
    </row>
    <row r="2" customFormat="false" ht="15" hidden="false" customHeight="false" outlineLevel="0" collapsed="false">
      <c r="A2" s="2" t="s">
        <v>17</v>
      </c>
    </row>
    <row r="4" customFormat="false" ht="15" hidden="false" customHeight="false" outlineLevel="0" collapsed="false">
      <c r="A4" s="3" t="s">
        <v>18</v>
      </c>
      <c r="D4" s="5" t="str">
        <f aca="false">Assumptions!D4</f>
        <v>Base</v>
      </c>
    </row>
    <row r="6" customFormat="false" ht="15" hidden="false" customHeight="false" outlineLevel="0" collapsed="false">
      <c r="A6" s="6" t="s">
        <v>19</v>
      </c>
      <c r="B6" s="6" t="s">
        <v>20</v>
      </c>
      <c r="C6" s="6" t="s">
        <v>21</v>
      </c>
      <c r="D6" s="6" t="s">
        <v>22</v>
      </c>
      <c r="E6" s="6" t="s">
        <v>23</v>
      </c>
      <c r="F6" s="6" t="s">
        <v>24</v>
      </c>
    </row>
    <row r="7" customFormat="false" ht="15" hidden="false" customHeight="false" outlineLevel="0" collapsed="false">
      <c r="A7" s="7" t="s">
        <v>25</v>
      </c>
      <c r="B7" s="8" t="n">
        <f aca="false">-CashFlows!B8</f>
        <v>269800</v>
      </c>
      <c r="C7" s="8" t="n">
        <f aca="false">-CashFlows!B47</f>
        <v>1193000</v>
      </c>
      <c r="D7" s="8" t="n">
        <f aca="false">-CashFlows!B86</f>
        <v>1927400</v>
      </c>
      <c r="E7" s="8" t="n">
        <f aca="false">-CashFlows!B125</f>
        <v>1316500</v>
      </c>
      <c r="F7" s="7" t="s">
        <v>26</v>
      </c>
    </row>
    <row r="8" customFormat="false" ht="15" hidden="false" customHeight="false" outlineLevel="0" collapsed="false">
      <c r="A8" s="7" t="s">
        <v>27</v>
      </c>
      <c r="B8" s="8" t="n">
        <f aca="false">CashFlows!B31</f>
        <v>359969.164272217</v>
      </c>
      <c r="C8" s="8" t="n">
        <f aca="false">CashFlows!B70</f>
        <v>-94635.6692933415</v>
      </c>
      <c r="D8" s="8" t="n">
        <f aca="false">CashFlows!B109</f>
        <v>-1255555.51891103</v>
      </c>
      <c r="E8" s="8" t="n">
        <f aca="false">CashFlows!B148</f>
        <v>-106846.546219068</v>
      </c>
      <c r="F8" s="7" t="s">
        <v>28</v>
      </c>
    </row>
    <row r="9" customFormat="false" ht="15" hidden="false" customHeight="false" outlineLevel="0" collapsed="false">
      <c r="A9" s="7" t="s">
        <v>29</v>
      </c>
      <c r="B9" s="8" t="n">
        <f aca="false">CashFlows!B32</f>
        <v>-16265.2589783396</v>
      </c>
      <c r="C9" s="8" t="n">
        <f aca="false">CashFlows!B71</f>
        <v>-1068228.80283854</v>
      </c>
      <c r="D9" s="8" t="n">
        <f aca="false">CashFlows!B110</f>
        <v>-2429129.55235093</v>
      </c>
      <c r="E9" s="8" t="n">
        <f aca="false">CashFlows!B149</f>
        <v>-1097090.0971444</v>
      </c>
      <c r="F9" s="7" t="s">
        <v>30</v>
      </c>
    </row>
    <row r="10" customFormat="false" ht="15" hidden="false" customHeight="false" outlineLevel="0" collapsed="false">
      <c r="A10" s="7" t="s">
        <v>31</v>
      </c>
      <c r="B10" s="9" t="n">
        <f aca="false">CashFlows!B33</f>
        <v>0.765770323842324</v>
      </c>
      <c r="C10" s="9" t="n">
        <f aca="false">CashFlows!B72</f>
        <v>0.0868380787793797</v>
      </c>
      <c r="D10" s="9" t="n">
        <f aca="false">CashFlows!B111</f>
        <v>-0.17607179129528</v>
      </c>
      <c r="E10" s="9" t="n">
        <f aca="false">CashFlows!B150</f>
        <v>0.0826489036060681</v>
      </c>
      <c r="F10" s="7" t="s">
        <v>32</v>
      </c>
    </row>
    <row r="11" customFormat="false" ht="15" hidden="false" customHeight="false" outlineLevel="0" collapsed="false">
      <c r="A11" s="7" t="s">
        <v>33</v>
      </c>
      <c r="B11" s="9" t="n">
        <f aca="false">CashFlows!B35</f>
        <v>2.02435337549962</v>
      </c>
      <c r="C11" s="9" t="n">
        <f aca="false">CashFlows!B74</f>
        <v>0.26262979575199</v>
      </c>
      <c r="D11" s="9" t="n">
        <f aca="false">CashFlows!B113</f>
        <v>-0.482356436997208</v>
      </c>
      <c r="E11" s="9" t="n">
        <f aca="false">CashFlows!B152</f>
        <v>0.226182880842988</v>
      </c>
      <c r="F11" s="7" t="s">
        <v>34</v>
      </c>
    </row>
    <row r="12" customFormat="false" ht="15" hidden="false" customHeight="false" outlineLevel="0" collapsed="false">
      <c r="A12" s="7" t="s">
        <v>35</v>
      </c>
      <c r="B12" s="9" t="n">
        <f aca="false">CashFlows!B36</f>
        <v>0.364732763632752</v>
      </c>
      <c r="C12" s="9" t="n">
        <f aca="false">CashFlows!B75</f>
        <v>-0.769520676146272</v>
      </c>
      <c r="D12" s="9" t="n">
        <f aca="false">CashFlows!B114</f>
        <v>-1.295462042365</v>
      </c>
      <c r="E12" s="9" t="n">
        <f aca="false">CashFlows!B153</f>
        <v>-0.709142233456006</v>
      </c>
      <c r="F12" s="7" t="s">
        <v>34</v>
      </c>
    </row>
    <row r="13" customFormat="false" ht="15" hidden="false" customHeight="false" outlineLevel="0" collapsed="false">
      <c r="A13" s="7" t="s">
        <v>36</v>
      </c>
      <c r="B13" s="10" t="n">
        <f aca="false">CashFlows!B37</f>
        <v>11.266034600298</v>
      </c>
      <c r="C13" s="10" t="n">
        <f aca="false">CashFlows!B76</f>
        <v>40.4071055353649</v>
      </c>
      <c r="D13" s="10" t="str">
        <f aca="false">CashFlows!B115</f>
        <v>not within 5 yrs</v>
      </c>
      <c r="E13" s="10" t="n">
        <f aca="false">CashFlows!B154</f>
        <v>41.3913682283245</v>
      </c>
      <c r="F13" s="7" t="s">
        <v>37</v>
      </c>
    </row>
    <row r="14" customFormat="false" ht="15" hidden="false" customHeight="false" outlineLevel="0" collapsed="false">
      <c r="A14" s="7" t="s">
        <v>38</v>
      </c>
      <c r="B14" s="10" t="n">
        <f aca="false">CashFlows!B38</f>
        <v>12.8750935041217</v>
      </c>
      <c r="C14" s="10" t="str">
        <f aca="false">CashFlows!B77</f>
        <v>not within 5 yrs</v>
      </c>
      <c r="D14" s="10" t="str">
        <f aca="false">CashFlows!B116</f>
        <v>not within 5 yrs</v>
      </c>
      <c r="E14" s="10" t="str">
        <f aca="false">CashFlows!B155</f>
        <v>not within 5 yrs</v>
      </c>
      <c r="F14" s="7" t="s">
        <v>39</v>
      </c>
    </row>
    <row r="15" customFormat="false" ht="15" hidden="false" customHeight="false" outlineLevel="0" collapsed="false">
      <c r="A15" s="7" t="s">
        <v>40</v>
      </c>
      <c r="B15" s="8" t="n">
        <f aca="false">CashFlows!G9</f>
        <v>171434.508716864</v>
      </c>
      <c r="C15" s="8" t="n">
        <f aca="false">CashFlows!G48</f>
        <v>512770.261183093</v>
      </c>
      <c r="D15" s="8" t="n">
        <f aca="false">CashFlows!G87</f>
        <v>657174.651000484</v>
      </c>
      <c r="E15" s="8" t="n">
        <f aca="false">CashFlows!G126</f>
        <v>512770.261183093</v>
      </c>
      <c r="F15" s="7"/>
    </row>
    <row r="16" customFormat="false" ht="15" hidden="false" customHeight="false" outlineLevel="0" collapsed="false">
      <c r="A16" s="7" t="s">
        <v>41</v>
      </c>
      <c r="B16" s="8" t="n">
        <f aca="false">-(CashFlows!G10+CashFlows!G11)</f>
        <v>81852.84375</v>
      </c>
      <c r="C16" s="8" t="n">
        <f aca="false">-(CashFlows!G49+CashFlows!G50)</f>
        <v>355256.3125</v>
      </c>
      <c r="D16" s="8" t="n">
        <f aca="false">-(CashFlows!G88+CashFlows!G89)</f>
        <v>622582.25</v>
      </c>
      <c r="E16" s="8" t="n">
        <f aca="false">-(CashFlows!G127+CashFlows!G128)</f>
        <v>355256.3125</v>
      </c>
      <c r="F16" s="7"/>
    </row>
    <row r="17" customFormat="false" ht="15" hidden="false" customHeight="false" outlineLevel="0" collapsed="false">
      <c r="A17" s="7" t="s">
        <v>42</v>
      </c>
      <c r="B17" s="8" t="n">
        <f aca="false">CashFlows!G12</f>
        <v>89581.6649668643</v>
      </c>
      <c r="C17" s="8" t="n">
        <f aca="false">CashFlows!G51</f>
        <v>157513.948683092</v>
      </c>
      <c r="D17" s="8" t="n">
        <f aca="false">CashFlows!G90</f>
        <v>34592.4010004838</v>
      </c>
      <c r="E17" s="8" t="n">
        <f aca="false">CashFlows!G129</f>
        <v>157513.948683092</v>
      </c>
      <c r="F17" s="7"/>
    </row>
    <row r="18" customFormat="false" ht="15" hidden="false" customHeight="false" outlineLevel="0" collapsed="false">
      <c r="A18" s="7" t="s">
        <v>43</v>
      </c>
      <c r="B18" s="8" t="n">
        <f aca="false">CashFlows!G15</f>
        <v>471332.253770192</v>
      </c>
      <c r="C18" s="8" t="n">
        <f aca="false">CashFlows!G54</f>
        <v>1296163.69786803</v>
      </c>
      <c r="D18" s="8" t="n">
        <f aca="false">CashFlows!G93</f>
        <v>1649662.88819567</v>
      </c>
      <c r="E18" s="8" t="n">
        <f aca="false">CashFlows!G132</f>
        <v>1296163.69786803</v>
      </c>
      <c r="F18" s="7"/>
    </row>
    <row r="19" customFormat="false" ht="15" hidden="false" customHeight="false" outlineLevel="0" collapsed="false">
      <c r="A19" s="7" t="s">
        <v>44</v>
      </c>
      <c r="B19" s="8" t="n">
        <f aca="false">CashFlows!B40</f>
        <v>-269800</v>
      </c>
      <c r="C19" s="8" t="n">
        <f aca="false">CashFlows!B79</f>
        <v>-1313528.42862759</v>
      </c>
      <c r="D19" s="8" t="n">
        <f aca="false">CashFlows!B118</f>
        <v>-2258233.33333333</v>
      </c>
      <c r="E19" s="8" t="n">
        <f aca="false">CashFlows!B157</f>
        <v>-1316500</v>
      </c>
      <c r="F19" s="7"/>
    </row>
    <row r="22" customFormat="false" ht="15" hidden="false" customHeight="false" outlineLevel="0" collapsed="false">
      <c r="A22" s="3" t="s">
        <v>45</v>
      </c>
      <c r="B22" s="3" t="str">
        <f aca="false">IF(AND(B7&lt;=1500000,B8&gt;0,ISNUMBER(B10),B10&gt;0.12,B11&gt;=0.2,ISNUMBER(B13),B13&lt;=36),"PASS","FAIL")</f>
        <v>PASS</v>
      </c>
      <c r="C22" s="3" t="str">
        <f aca="false">IF(AND(C7&lt;=1500000,C8&gt;0,ISNUMBER(C10),C10&gt;0.12,C11&gt;=0.2,ISNUMBER(C13),C13&lt;=36),"PASS","FAIL")</f>
        <v>FAIL</v>
      </c>
      <c r="D22" s="3" t="str">
        <f aca="false">IF(AND(D7&lt;=1500000,D8&gt;0,ISNUMBER(D10),D10&gt;0.12,D11&gt;=0.2,ISNUMBER(D13),D13&lt;=36),"PASS","FAIL")</f>
        <v>FAIL</v>
      </c>
      <c r="E22" s="3" t="str">
        <f aca="false">IF(AND(E7&lt;=1500000,E8&gt;0,ISNUMBER(E10),E10&gt;0.12,E11&gt;=0.2,ISNUMBER(E13),E13&lt;=36),"PASS","FAIL")</f>
        <v>FAIL</v>
      </c>
    </row>
    <row r="24" customFormat="false" ht="15" hidden="false" customHeight="false" outlineLevel="0" collapsed="false">
      <c r="A24" s="7" t="s">
        <v>46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9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6"/>
    <col collapsed="false" customWidth="true" hidden="false" outlineLevel="0" max="2" min="2" style="0" width="12"/>
    <col collapsed="false" customWidth="true" hidden="false" outlineLevel="0" max="4" min="3" style="0" width="15"/>
    <col collapsed="false" customWidth="true" hidden="false" outlineLevel="0" max="5" min="5" style="0" width="18"/>
    <col collapsed="false" customWidth="true" hidden="false" outlineLevel="0" max="9" min="6" style="0" width="15"/>
  </cols>
  <sheetData>
    <row r="1" customFormat="false" ht="17.35" hidden="false" customHeight="false" outlineLevel="0" collapsed="false">
      <c r="A1" s="1" t="s">
        <v>47</v>
      </c>
    </row>
    <row r="2" customFormat="false" ht="15" hidden="false" customHeight="false" outlineLevel="0" collapsed="false">
      <c r="A2" s="2" t="s">
        <v>48</v>
      </c>
    </row>
    <row r="4" customFormat="false" ht="15" hidden="false" customHeight="false" outlineLevel="0" collapsed="false">
      <c r="A4" s="3" t="s">
        <v>49</v>
      </c>
      <c r="C4" s="11" t="n">
        <v>1</v>
      </c>
      <c r="D4" s="3" t="str">
        <f aca="false">INDEX(F6:I6,C4)</f>
        <v>Base</v>
      </c>
    </row>
    <row r="6" customFormat="false" ht="15" hidden="false" customHeight="false" outlineLevel="0" collapsed="false">
      <c r="A6" s="6" t="s">
        <v>50</v>
      </c>
      <c r="B6" s="6" t="s">
        <v>51</v>
      </c>
      <c r="C6" s="6" t="s">
        <v>52</v>
      </c>
      <c r="D6" s="6"/>
      <c r="E6" s="6" t="s">
        <v>53</v>
      </c>
      <c r="F6" s="6" t="s">
        <v>54</v>
      </c>
      <c r="G6" s="6" t="s">
        <v>55</v>
      </c>
      <c r="H6" s="6" t="s">
        <v>56</v>
      </c>
      <c r="I6" s="6" t="s">
        <v>57</v>
      </c>
    </row>
    <row r="7" customFormat="false" ht="15" hidden="false" customHeight="false" outlineLevel="0" collapsed="false">
      <c r="A7" s="7" t="s">
        <v>58</v>
      </c>
      <c r="B7" s="7" t="s">
        <v>59</v>
      </c>
      <c r="C7" s="12" t="n">
        <f aca="false">INDEX(F7:I7,$C$4)</f>
        <v>0.15</v>
      </c>
      <c r="E7" s="7" t="s">
        <v>60</v>
      </c>
      <c r="F7" s="13" t="n">
        <v>0.15</v>
      </c>
      <c r="G7" s="13" t="n">
        <v>0.25</v>
      </c>
      <c r="H7" s="13" t="n">
        <v>0.4</v>
      </c>
      <c r="I7" s="13" t="n">
        <v>0</v>
      </c>
    </row>
    <row r="8" customFormat="false" ht="15" hidden="false" customHeight="false" outlineLevel="0" collapsed="false">
      <c r="A8" s="7" t="s">
        <v>61</v>
      </c>
      <c r="B8" s="7" t="s">
        <v>62</v>
      </c>
      <c r="C8" s="14" t="n">
        <f aca="false">INDEX(F8:I8,$C$4)</f>
        <v>0</v>
      </c>
      <c r="E8" s="7" t="s">
        <v>63</v>
      </c>
      <c r="F8" s="15" t="n">
        <v>0</v>
      </c>
      <c r="G8" s="15" t="n">
        <v>3</v>
      </c>
      <c r="H8" s="15" t="n">
        <v>6</v>
      </c>
      <c r="I8" s="15" t="n">
        <v>0</v>
      </c>
    </row>
    <row r="9" customFormat="false" ht="15" hidden="false" customHeight="false" outlineLevel="0" collapsed="false">
      <c r="A9" s="7" t="s">
        <v>64</v>
      </c>
      <c r="B9" s="7" t="s">
        <v>65</v>
      </c>
      <c r="C9" s="16" t="n">
        <f aca="false">INDEX(F9:I9,$C$4)</f>
        <v>1</v>
      </c>
      <c r="E9" s="7" t="s">
        <v>66</v>
      </c>
      <c r="F9" s="17" t="n">
        <v>1</v>
      </c>
      <c r="G9" s="17" t="n">
        <v>1.25</v>
      </c>
      <c r="H9" s="17" t="n">
        <v>1.5</v>
      </c>
      <c r="I9" s="17" t="n">
        <v>1</v>
      </c>
    </row>
    <row r="10" customFormat="false" ht="15" hidden="false" customHeight="false" outlineLevel="0" collapsed="false">
      <c r="A10" s="7" t="s">
        <v>67</v>
      </c>
      <c r="B10" s="7" t="s">
        <v>59</v>
      </c>
      <c r="C10" s="12" t="n">
        <f aca="false">INDEX(F10:I10,$C$4)</f>
        <v>1</v>
      </c>
      <c r="E10" s="7" t="s">
        <v>68</v>
      </c>
      <c r="F10" s="13" t="n">
        <v>1</v>
      </c>
      <c r="G10" s="13" t="n">
        <v>0.8</v>
      </c>
      <c r="H10" s="13" t="n">
        <v>0.6</v>
      </c>
      <c r="I10" s="13" t="n">
        <v>1</v>
      </c>
    </row>
    <row r="11" customFormat="false" ht="15" hidden="false" customHeight="false" outlineLevel="0" collapsed="false">
      <c r="A11" s="7" t="s">
        <v>69</v>
      </c>
      <c r="B11" s="7" t="s">
        <v>59</v>
      </c>
      <c r="C11" s="12" t="n">
        <f aca="false">INDEX(F11:I11,$C$4)</f>
        <v>0.05</v>
      </c>
      <c r="E11" s="7" t="s">
        <v>70</v>
      </c>
      <c r="F11" s="13" t="n">
        <v>0.05</v>
      </c>
      <c r="G11" s="13" t="n">
        <v>0.07</v>
      </c>
      <c r="H11" s="13" t="n">
        <v>0.1</v>
      </c>
      <c r="I11" s="13" t="n">
        <v>0</v>
      </c>
    </row>
    <row r="12" customFormat="false" ht="15" hidden="false" customHeight="false" outlineLevel="0" collapsed="false">
      <c r="A12" s="7" t="s">
        <v>71</v>
      </c>
      <c r="B12" s="7" t="s">
        <v>59</v>
      </c>
      <c r="C12" s="12" t="n">
        <f aca="false">INDEX(F12:I12,$C$4)</f>
        <v>0.03</v>
      </c>
      <c r="E12" s="7" t="s">
        <v>72</v>
      </c>
      <c r="F12" s="13" t="n">
        <v>0.03</v>
      </c>
      <c r="G12" s="13" t="n">
        <v>0.015</v>
      </c>
      <c r="H12" s="13" t="n">
        <v>0</v>
      </c>
      <c r="I12" s="13" t="n">
        <v>0.03</v>
      </c>
    </row>
    <row r="13" customFormat="false" ht="15" hidden="false" customHeight="false" outlineLevel="0" collapsed="false">
      <c r="A13" s="7" t="s">
        <v>73</v>
      </c>
      <c r="B13" s="7" t="s">
        <v>59</v>
      </c>
      <c r="C13" s="12" t="n">
        <f aca="false">INDEX(F13:I13,$C$4)</f>
        <v>0.35</v>
      </c>
      <c r="E13" s="7" t="s">
        <v>74</v>
      </c>
      <c r="F13" s="13" t="n">
        <v>0.35</v>
      </c>
      <c r="G13" s="13" t="n">
        <v>0.2</v>
      </c>
      <c r="H13" s="13" t="n">
        <v>0</v>
      </c>
      <c r="I13" s="13" t="n">
        <v>1</v>
      </c>
    </row>
    <row r="14" customFormat="false" ht="15" hidden="false" customHeight="false" outlineLevel="0" collapsed="false">
      <c r="A14" s="3" t="s">
        <v>75</v>
      </c>
      <c r="C14" s="18" t="n">
        <v>0.12</v>
      </c>
      <c r="E14" s="7" t="s">
        <v>76</v>
      </c>
    </row>
    <row r="16" customFormat="false" ht="15" hidden="false" customHeight="false" outlineLevel="0" collapsed="false">
      <c r="A16" s="3" t="s">
        <v>77</v>
      </c>
    </row>
    <row r="17" customFormat="false" ht="15" hidden="false" customHeight="false" outlineLevel="0" collapsed="false">
      <c r="A17" s="7" t="s">
        <v>78</v>
      </c>
      <c r="B17" s="7" t="s">
        <v>79</v>
      </c>
      <c r="C17" s="19" t="n">
        <v>1920</v>
      </c>
      <c r="E17" s="7" t="s">
        <v>80</v>
      </c>
    </row>
    <row r="18" customFormat="false" ht="15" hidden="false" customHeight="false" outlineLevel="0" collapsed="false">
      <c r="A18" s="7" t="s">
        <v>81</v>
      </c>
      <c r="B18" s="7" t="s">
        <v>82</v>
      </c>
      <c r="C18" s="19" t="n">
        <v>66000</v>
      </c>
      <c r="E18" s="7" t="s">
        <v>83</v>
      </c>
    </row>
    <row r="19" customFormat="false" ht="15" hidden="false" customHeight="false" outlineLevel="0" collapsed="false">
      <c r="A19" s="7" t="s">
        <v>84</v>
      </c>
      <c r="B19" s="7" t="s">
        <v>82</v>
      </c>
      <c r="C19" s="19" t="n">
        <v>55000</v>
      </c>
      <c r="E19" s="7" t="s">
        <v>85</v>
      </c>
    </row>
    <row r="20" customFormat="false" ht="15" hidden="false" customHeight="false" outlineLevel="0" collapsed="false">
      <c r="A20" s="7" t="s">
        <v>86</v>
      </c>
      <c r="B20" s="7" t="s">
        <v>82</v>
      </c>
      <c r="C20" s="19" t="n">
        <v>48000</v>
      </c>
      <c r="E20" s="7" t="s">
        <v>85</v>
      </c>
    </row>
    <row r="21" customFormat="false" ht="15" hidden="false" customHeight="false" outlineLevel="0" collapsed="false">
      <c r="A21" s="7" t="s">
        <v>87</v>
      </c>
      <c r="B21" s="7" t="s">
        <v>88</v>
      </c>
      <c r="C21" s="19" t="n">
        <v>4800</v>
      </c>
      <c r="E21" s="7" t="s">
        <v>89</v>
      </c>
    </row>
    <row r="22" customFormat="false" ht="15" hidden="false" customHeight="false" outlineLevel="0" collapsed="false">
      <c r="A22" s="7" t="s">
        <v>90</v>
      </c>
      <c r="B22" s="7" t="s">
        <v>91</v>
      </c>
      <c r="C22" s="19" t="n">
        <v>42</v>
      </c>
      <c r="E22" s="7" t="s">
        <v>92</v>
      </c>
    </row>
    <row r="23" customFormat="false" ht="15" hidden="false" customHeight="false" outlineLevel="0" collapsed="false">
      <c r="A23" s="7" t="s">
        <v>93</v>
      </c>
      <c r="B23" s="7" t="s">
        <v>79</v>
      </c>
      <c r="C23" s="19" t="n">
        <v>260</v>
      </c>
      <c r="E23" s="7" t="s">
        <v>94</v>
      </c>
    </row>
    <row r="24" customFormat="false" ht="15" hidden="false" customHeight="false" outlineLevel="0" collapsed="false">
      <c r="A24" s="7" t="s">
        <v>95</v>
      </c>
      <c r="B24" s="7" t="s">
        <v>59</v>
      </c>
      <c r="C24" s="13" t="n">
        <v>0.5</v>
      </c>
      <c r="E24" s="7" t="s">
        <v>96</v>
      </c>
    </row>
    <row r="25" customFormat="false" ht="15" hidden="false" customHeight="false" outlineLevel="0" collapsed="false">
      <c r="A25" s="7" t="s">
        <v>97</v>
      </c>
      <c r="B25" s="7" t="s">
        <v>59</v>
      </c>
      <c r="C25" s="13" t="n">
        <v>0.4</v>
      </c>
      <c r="E25" s="7" t="s">
        <v>98</v>
      </c>
    </row>
    <row r="26" customFormat="false" ht="15" hidden="false" customHeight="false" outlineLevel="0" collapsed="false">
      <c r="A26" s="7" t="s">
        <v>99</v>
      </c>
      <c r="B26" s="7" t="s">
        <v>88</v>
      </c>
      <c r="C26" s="19" t="n">
        <v>540</v>
      </c>
      <c r="E26" s="7" t="s">
        <v>100</v>
      </c>
    </row>
    <row r="27" customFormat="false" ht="15" hidden="false" customHeight="false" outlineLevel="0" collapsed="false">
      <c r="A27" s="7" t="s">
        <v>101</v>
      </c>
      <c r="B27" s="7" t="s">
        <v>79</v>
      </c>
      <c r="C27" s="17" t="n">
        <v>5</v>
      </c>
      <c r="E27" s="7" t="s">
        <v>102</v>
      </c>
    </row>
    <row r="28" customFormat="false" ht="15" hidden="false" customHeight="false" outlineLevel="0" collapsed="false">
      <c r="A28" s="7" t="s">
        <v>103</v>
      </c>
      <c r="B28" s="7" t="s">
        <v>88</v>
      </c>
      <c r="C28" s="19" t="n">
        <v>4260</v>
      </c>
      <c r="E28" s="7" t="s">
        <v>104</v>
      </c>
    </row>
    <row r="29" customFormat="false" ht="15" hidden="false" customHeight="false" outlineLevel="0" collapsed="false">
      <c r="A29" s="7" t="s">
        <v>105</v>
      </c>
      <c r="B29" s="7" t="s">
        <v>79</v>
      </c>
      <c r="C29" s="17" t="n">
        <v>0.5</v>
      </c>
      <c r="E29" s="7" t="s">
        <v>106</v>
      </c>
    </row>
    <row r="30" customFormat="false" ht="15" hidden="false" customHeight="false" outlineLevel="0" collapsed="false">
      <c r="A30" s="7" t="s">
        <v>107</v>
      </c>
      <c r="B30" s="7" t="s">
        <v>108</v>
      </c>
      <c r="C30" s="19" t="n">
        <v>79</v>
      </c>
      <c r="E30" s="7" t="s">
        <v>89</v>
      </c>
    </row>
    <row r="31" customFormat="false" ht="15" hidden="false" customHeight="false" outlineLevel="0" collapsed="false">
      <c r="A31" s="7" t="s">
        <v>109</v>
      </c>
      <c r="B31" s="7" t="s">
        <v>110</v>
      </c>
      <c r="C31" s="13" t="n">
        <v>0.02</v>
      </c>
      <c r="E31" s="7" t="s">
        <v>111</v>
      </c>
    </row>
    <row r="32" customFormat="false" ht="15" hidden="false" customHeight="false" outlineLevel="0" collapsed="false">
      <c r="A32" s="7" t="s">
        <v>112</v>
      </c>
      <c r="B32" s="7" t="s">
        <v>113</v>
      </c>
      <c r="C32" s="13" t="n">
        <v>0.05</v>
      </c>
      <c r="E32" s="7" t="s">
        <v>114</v>
      </c>
    </row>
    <row r="33" customFormat="false" ht="15" hidden="false" customHeight="false" outlineLevel="0" collapsed="false">
      <c r="A33" s="7" t="s">
        <v>115</v>
      </c>
      <c r="B33" s="7" t="s">
        <v>116</v>
      </c>
      <c r="C33" s="20" t="n">
        <v>0.001</v>
      </c>
      <c r="E33" s="7" t="s">
        <v>117</v>
      </c>
    </row>
    <row r="34" customFormat="false" ht="15" hidden="false" customHeight="false" outlineLevel="0" collapsed="false">
      <c r="A34" s="7" t="s">
        <v>118</v>
      </c>
      <c r="B34" s="7" t="s">
        <v>59</v>
      </c>
      <c r="C34" s="13" t="n">
        <v>0.25</v>
      </c>
      <c r="E34" s="7" t="s">
        <v>119</v>
      </c>
    </row>
    <row r="37" customFormat="false" ht="15" hidden="false" customHeight="false" outlineLevel="0" collapsed="false">
      <c r="A37" s="3" t="s">
        <v>120</v>
      </c>
    </row>
    <row r="38" customFormat="false" ht="15" hidden="false" customHeight="false" outlineLevel="0" collapsed="false">
      <c r="A38" s="6" t="s">
        <v>121</v>
      </c>
      <c r="B38" s="6"/>
      <c r="C38" s="6" t="s">
        <v>122</v>
      </c>
      <c r="D38" s="6" t="s">
        <v>123</v>
      </c>
      <c r="E38" s="6" t="s">
        <v>124</v>
      </c>
    </row>
    <row r="39" customFormat="false" ht="15" hidden="false" customHeight="false" outlineLevel="0" collapsed="false">
      <c r="A39" s="7" t="s">
        <v>125</v>
      </c>
      <c r="C39" s="21" t="n">
        <v>39.8</v>
      </c>
      <c r="D39" s="21" t="n">
        <v>44.2</v>
      </c>
      <c r="E39" s="21" t="n">
        <v>48.6</v>
      </c>
    </row>
    <row r="40" customFormat="false" ht="15" hidden="false" customHeight="false" outlineLevel="0" collapsed="false">
      <c r="A40" s="7" t="s">
        <v>126</v>
      </c>
      <c r="C40" s="21" t="n">
        <v>29.5</v>
      </c>
      <c r="D40" s="21" t="n">
        <v>33.2</v>
      </c>
      <c r="E40" s="21" t="n">
        <v>37.1</v>
      </c>
    </row>
    <row r="41" customFormat="false" ht="15" hidden="false" customHeight="false" outlineLevel="0" collapsed="false">
      <c r="A41" s="7" t="s">
        <v>127</v>
      </c>
      <c r="C41" s="21" t="n">
        <v>10.3</v>
      </c>
      <c r="D41" s="21" t="n">
        <v>11</v>
      </c>
      <c r="E41" s="21" t="n">
        <v>11.5</v>
      </c>
    </row>
    <row r="42" customFormat="false" ht="15" hidden="false" customHeight="false" outlineLevel="0" collapsed="false">
      <c r="A42" s="7" t="s">
        <v>128</v>
      </c>
      <c r="C42" s="21" t="n">
        <v>2.8</v>
      </c>
      <c r="D42" s="21" t="n">
        <v>3.1</v>
      </c>
      <c r="E42" s="21" t="n">
        <v>3.4</v>
      </c>
    </row>
    <row r="43" customFormat="false" ht="15" hidden="false" customHeight="false" outlineLevel="0" collapsed="false">
      <c r="A43" s="7" t="s">
        <v>129</v>
      </c>
      <c r="C43" s="21" t="n">
        <v>1.7</v>
      </c>
      <c r="D43" s="21" t="n">
        <v>1.9</v>
      </c>
      <c r="E43" s="21" t="n">
        <v>2.1</v>
      </c>
    </row>
    <row r="44" customFormat="false" ht="15" hidden="false" customHeight="false" outlineLevel="0" collapsed="false">
      <c r="A44" s="7" t="s">
        <v>130</v>
      </c>
      <c r="C44" s="21" t="n">
        <v>0.4</v>
      </c>
      <c r="D44" s="21" t="n">
        <v>0.5</v>
      </c>
      <c r="E44" s="21" t="n">
        <v>0.65</v>
      </c>
    </row>
    <row r="45" customFormat="false" ht="15" hidden="false" customHeight="false" outlineLevel="0" collapsed="false">
      <c r="A45" s="7" t="s">
        <v>131</v>
      </c>
      <c r="C45" s="21" t="n">
        <v>5.4</v>
      </c>
      <c r="D45" s="21" t="n">
        <v>5.5</v>
      </c>
      <c r="E45" s="21" t="n">
        <v>5.35</v>
      </c>
    </row>
    <row r="46" customFormat="false" ht="15" hidden="false" customHeight="false" outlineLevel="0" collapsed="false">
      <c r="A46" s="7" t="s">
        <v>132</v>
      </c>
      <c r="C46" s="21" t="n">
        <v>5.2</v>
      </c>
      <c r="D46" s="21" t="n">
        <v>6.4</v>
      </c>
      <c r="E46" s="21" t="n">
        <v>8.1</v>
      </c>
    </row>
    <row r="47" customFormat="false" ht="15" hidden="false" customHeight="false" outlineLevel="0" collapsed="false">
      <c r="A47" s="7" t="s">
        <v>133</v>
      </c>
      <c r="C47" s="22" t="n">
        <v>145</v>
      </c>
      <c r="D47" s="22" t="n">
        <v>208</v>
      </c>
      <c r="E47" s="22" t="n">
        <v>312</v>
      </c>
    </row>
    <row r="48" customFormat="false" ht="15" hidden="false" customHeight="false" outlineLevel="0" collapsed="false">
      <c r="A48" s="7" t="s">
        <v>134</v>
      </c>
      <c r="C48" s="22" t="n">
        <v>180</v>
      </c>
      <c r="D48" s="22" t="n">
        <v>275</v>
      </c>
      <c r="E48" s="22" t="n">
        <v>420</v>
      </c>
    </row>
    <row r="49" customFormat="false" ht="15" hidden="false" customHeight="false" outlineLevel="0" collapsed="false">
      <c r="A49" s="7" t="s">
        <v>135</v>
      </c>
      <c r="C49" s="22" t="n">
        <v>320</v>
      </c>
      <c r="D49" s="22" t="n">
        <v>410</v>
      </c>
      <c r="E49" s="22" t="n">
        <v>560</v>
      </c>
    </row>
    <row r="50" customFormat="false" ht="15" hidden="false" customHeight="false" outlineLevel="0" collapsed="false">
      <c r="A50" s="7" t="s">
        <v>136</v>
      </c>
      <c r="C50" s="21" t="n">
        <v>3.2</v>
      </c>
      <c r="D50" s="21" t="n">
        <v>3.8</v>
      </c>
      <c r="E50" s="21" t="n">
        <v>4.6</v>
      </c>
    </row>
    <row r="51" customFormat="false" ht="15" hidden="false" customHeight="false" outlineLevel="0" collapsed="false">
      <c r="A51" s="7" t="s">
        <v>137</v>
      </c>
      <c r="C51" s="22" t="n">
        <v>94</v>
      </c>
      <c r="D51" s="22" t="n">
        <v>91</v>
      </c>
      <c r="E51" s="22" t="n">
        <v>87</v>
      </c>
    </row>
    <row r="52" customFormat="false" ht="15" hidden="false" customHeight="false" outlineLevel="0" collapsed="false">
      <c r="A52" s="7" t="s">
        <v>138</v>
      </c>
      <c r="C52" s="22" t="n">
        <v>94</v>
      </c>
      <c r="D52" s="22" t="n">
        <v>91</v>
      </c>
      <c r="E52" s="22" t="n">
        <v>86</v>
      </c>
    </row>
    <row r="55" customFormat="false" ht="15" hidden="false" customHeight="false" outlineLevel="0" collapsed="false">
      <c r="A55" s="3" t="s">
        <v>139</v>
      </c>
    </row>
    <row r="56" customFormat="false" ht="15" hidden="false" customHeight="false" outlineLevel="0" collapsed="false">
      <c r="A56" s="6" t="s">
        <v>140</v>
      </c>
      <c r="B56" s="6" t="s">
        <v>51</v>
      </c>
      <c r="C56" s="6" t="s">
        <v>141</v>
      </c>
      <c r="D56" s="6" t="s">
        <v>142</v>
      </c>
      <c r="E56" s="6" t="s">
        <v>143</v>
      </c>
      <c r="F56" s="6" t="s">
        <v>144</v>
      </c>
    </row>
    <row r="57" customFormat="false" ht="15" hidden="false" customHeight="false" outlineLevel="0" collapsed="false">
      <c r="A57" s="7" t="s">
        <v>145</v>
      </c>
      <c r="B57" s="7" t="s">
        <v>59</v>
      </c>
      <c r="C57" s="13" t="n">
        <v>0.2</v>
      </c>
      <c r="D57" s="13" t="n">
        <v>0.55</v>
      </c>
      <c r="E57" s="13" t="n">
        <v>0.65</v>
      </c>
      <c r="F57" s="7" t="s">
        <v>146</v>
      </c>
    </row>
    <row r="58" customFormat="false" ht="15" hidden="false" customHeight="false" outlineLevel="0" collapsed="false">
      <c r="A58" s="7" t="s">
        <v>147</v>
      </c>
      <c r="B58" s="7" t="s">
        <v>59</v>
      </c>
      <c r="C58" s="13" t="n">
        <v>0.2</v>
      </c>
      <c r="D58" s="13" t="n">
        <v>0.55</v>
      </c>
      <c r="E58" s="13" t="n">
        <v>0.65</v>
      </c>
      <c r="F58" s="7"/>
    </row>
    <row r="59" customFormat="false" ht="15" hidden="false" customHeight="false" outlineLevel="0" collapsed="false">
      <c r="A59" s="7" t="s">
        <v>148</v>
      </c>
      <c r="B59" s="7" t="s">
        <v>59</v>
      </c>
      <c r="C59" s="13" t="n">
        <v>0.1</v>
      </c>
      <c r="D59" s="13" t="n">
        <v>0.35</v>
      </c>
      <c r="E59" s="13" t="n">
        <v>0.5</v>
      </c>
      <c r="F59" s="7" t="s">
        <v>149</v>
      </c>
    </row>
    <row r="60" customFormat="false" ht="15" hidden="false" customHeight="false" outlineLevel="0" collapsed="false">
      <c r="A60" s="7" t="s">
        <v>150</v>
      </c>
      <c r="B60" s="7" t="s">
        <v>59</v>
      </c>
      <c r="C60" s="13" t="n">
        <v>0</v>
      </c>
      <c r="D60" s="13" t="n">
        <v>0.12</v>
      </c>
      <c r="E60" s="13" t="n">
        <v>0.2</v>
      </c>
      <c r="F60" s="7" t="s">
        <v>151</v>
      </c>
    </row>
    <row r="61" customFormat="false" ht="15" hidden="false" customHeight="false" outlineLevel="0" collapsed="false">
      <c r="A61" s="7" t="s">
        <v>152</v>
      </c>
      <c r="B61" s="7" t="s">
        <v>59</v>
      </c>
      <c r="C61" s="20" t="n">
        <v>0.0005</v>
      </c>
      <c r="D61" s="20" t="n">
        <v>0.002</v>
      </c>
      <c r="E61" s="20" t="n">
        <v>0.0025</v>
      </c>
      <c r="F61" s="7" t="s">
        <v>153</v>
      </c>
    </row>
    <row r="62" customFormat="false" ht="15" hidden="false" customHeight="false" outlineLevel="0" collapsed="false">
      <c r="A62" s="7" t="s">
        <v>154</v>
      </c>
      <c r="B62" s="7" t="s">
        <v>155</v>
      </c>
      <c r="C62" s="23" t="n">
        <v>2</v>
      </c>
      <c r="D62" s="23" t="n">
        <v>5</v>
      </c>
      <c r="E62" s="23" t="n">
        <v>7</v>
      </c>
      <c r="F62" s="7" t="s">
        <v>156</v>
      </c>
    </row>
    <row r="63" customFormat="false" ht="15" hidden="false" customHeight="false" outlineLevel="0" collapsed="false">
      <c r="A63" s="7" t="s">
        <v>157</v>
      </c>
      <c r="B63" s="7" t="s">
        <v>59</v>
      </c>
      <c r="C63" s="13" t="n">
        <v>0.12</v>
      </c>
      <c r="D63" s="13" t="n">
        <v>0.35</v>
      </c>
      <c r="E63" s="13" t="n">
        <v>0.42</v>
      </c>
      <c r="F63" s="7" t="s">
        <v>158</v>
      </c>
    </row>
    <row r="64" customFormat="false" ht="15" hidden="false" customHeight="false" outlineLevel="0" collapsed="false">
      <c r="A64" s="7" t="s">
        <v>159</v>
      </c>
      <c r="B64" s="7" t="s">
        <v>79</v>
      </c>
      <c r="C64" s="19" t="n">
        <v>215</v>
      </c>
      <c r="D64" s="19" t="n">
        <v>130</v>
      </c>
      <c r="E64" s="19" t="n">
        <v>100</v>
      </c>
      <c r="F64" s="7" t="s">
        <v>160</v>
      </c>
    </row>
    <row r="65" customFormat="false" ht="15" hidden="false" customHeight="false" outlineLevel="0" collapsed="false">
      <c r="A65" s="7" t="s">
        <v>161</v>
      </c>
      <c r="B65" s="7" t="s">
        <v>59</v>
      </c>
      <c r="C65" s="13" t="n">
        <v>0.9</v>
      </c>
      <c r="D65" s="13" t="n">
        <v>0.94</v>
      </c>
      <c r="E65" s="13" t="n">
        <v>0.95</v>
      </c>
      <c r="F65" s="7" t="s">
        <v>162</v>
      </c>
    </row>
    <row r="66" customFormat="false" ht="15" hidden="false" customHeight="false" outlineLevel="0" collapsed="false">
      <c r="A66" s="7" t="s">
        <v>163</v>
      </c>
      <c r="B66" s="7" t="s">
        <v>108</v>
      </c>
      <c r="C66" s="23" t="n">
        <v>75</v>
      </c>
      <c r="D66" s="23" t="n">
        <v>68</v>
      </c>
      <c r="E66" s="23" t="n">
        <v>65</v>
      </c>
      <c r="F66" s="7" t="s">
        <v>164</v>
      </c>
    </row>
    <row r="67" customFormat="false" ht="15" hidden="false" customHeight="false" outlineLevel="0" collapsed="false">
      <c r="A67" s="7" t="s">
        <v>165</v>
      </c>
      <c r="B67" s="7" t="s">
        <v>82</v>
      </c>
      <c r="C67" s="19" t="n">
        <v>220000</v>
      </c>
      <c r="D67" s="19" t="n">
        <v>820000</v>
      </c>
      <c r="E67" s="19" t="n">
        <v>1320000</v>
      </c>
      <c r="F67" s="7" t="s">
        <v>166</v>
      </c>
    </row>
    <row r="68" customFormat="false" ht="15" hidden="false" customHeight="false" outlineLevel="0" collapsed="false">
      <c r="A68" s="7" t="s">
        <v>167</v>
      </c>
      <c r="B68" s="7" t="s">
        <v>65</v>
      </c>
      <c r="C68" s="23" t="n">
        <v>0.6</v>
      </c>
      <c r="D68" s="23" t="n">
        <v>1</v>
      </c>
      <c r="E68" s="23" t="n">
        <v>1.3</v>
      </c>
      <c r="F68" s="7" t="s">
        <v>168</v>
      </c>
    </row>
    <row r="69" customFormat="false" ht="15" hidden="false" customHeight="false" outlineLevel="0" collapsed="false">
      <c r="A69" s="7" t="s">
        <v>169</v>
      </c>
      <c r="B69" s="7" t="s">
        <v>82</v>
      </c>
      <c r="C69" s="19" t="n">
        <v>25000</v>
      </c>
      <c r="D69" s="19" t="n">
        <v>120000</v>
      </c>
      <c r="E69" s="19" t="n">
        <v>180000</v>
      </c>
      <c r="F69" s="7" t="s">
        <v>170</v>
      </c>
    </row>
    <row r="70" customFormat="false" ht="15" hidden="false" customHeight="false" outlineLevel="0" collapsed="false">
      <c r="A70" s="7" t="s">
        <v>171</v>
      </c>
      <c r="B70" s="7" t="s">
        <v>82</v>
      </c>
      <c r="C70" s="19" t="n">
        <v>5000</v>
      </c>
      <c r="D70" s="19" t="n">
        <v>40000</v>
      </c>
      <c r="E70" s="19" t="n">
        <v>60000</v>
      </c>
      <c r="F70" s="7" t="s">
        <v>172</v>
      </c>
    </row>
    <row r="71" customFormat="false" ht="15" hidden="false" customHeight="false" outlineLevel="0" collapsed="false">
      <c r="A71" s="7" t="s">
        <v>173</v>
      </c>
      <c r="B71" s="7" t="s">
        <v>82</v>
      </c>
      <c r="C71" s="19" t="n">
        <v>0</v>
      </c>
      <c r="D71" s="19" t="n">
        <v>90000</v>
      </c>
      <c r="E71" s="19" t="n">
        <v>110000</v>
      </c>
      <c r="F71" s="7" t="s">
        <v>174</v>
      </c>
    </row>
    <row r="72" customFormat="false" ht="15" hidden="false" customHeight="false" outlineLevel="0" collapsed="false">
      <c r="A72" s="7" t="s">
        <v>175</v>
      </c>
      <c r="B72" s="7" t="s">
        <v>82</v>
      </c>
      <c r="C72" s="19" t="n">
        <v>55000</v>
      </c>
      <c r="D72" s="19" t="n">
        <v>210000</v>
      </c>
      <c r="E72" s="19" t="n">
        <v>360000</v>
      </c>
      <c r="F72" s="7" t="s">
        <v>176</v>
      </c>
    </row>
    <row r="73" customFormat="false" ht="15" hidden="false" customHeight="false" outlineLevel="0" collapsed="false">
      <c r="A73" s="7" t="s">
        <v>177</v>
      </c>
      <c r="B73" s="7" t="s">
        <v>82</v>
      </c>
      <c r="C73" s="19" t="n">
        <v>0</v>
      </c>
      <c r="D73" s="19" t="n">
        <v>60000</v>
      </c>
      <c r="E73" s="19" t="n">
        <v>130000</v>
      </c>
      <c r="F73" s="7" t="s">
        <v>178</v>
      </c>
    </row>
    <row r="74" customFormat="false" ht="15" hidden="false" customHeight="false" outlineLevel="0" collapsed="false">
      <c r="A74" s="7" t="s">
        <v>179</v>
      </c>
      <c r="B74" s="7" t="s">
        <v>82</v>
      </c>
      <c r="C74" s="19" t="n">
        <v>15000</v>
      </c>
      <c r="D74" s="19" t="n">
        <v>40000</v>
      </c>
      <c r="E74" s="19" t="n">
        <v>55000</v>
      </c>
      <c r="F74" s="7" t="s">
        <v>180</v>
      </c>
    </row>
    <row r="75" customFormat="false" ht="15" hidden="false" customHeight="false" outlineLevel="0" collapsed="false">
      <c r="A75" s="7" t="s">
        <v>181</v>
      </c>
      <c r="B75" s="7" t="s">
        <v>182</v>
      </c>
      <c r="C75" s="23" t="n">
        <v>4</v>
      </c>
      <c r="D75" s="23" t="n">
        <v>11</v>
      </c>
      <c r="E75" s="23" t="n">
        <v>14</v>
      </c>
      <c r="F75" s="7" t="s">
        <v>183</v>
      </c>
    </row>
    <row r="76" customFormat="false" ht="15" hidden="false" customHeight="false" outlineLevel="0" collapsed="false">
      <c r="A76" s="7" t="s">
        <v>184</v>
      </c>
      <c r="B76" s="7" t="s">
        <v>62</v>
      </c>
      <c r="C76" s="23" t="n">
        <v>6</v>
      </c>
      <c r="D76" s="23" t="n">
        <v>9</v>
      </c>
      <c r="E76" s="23" t="n">
        <v>12</v>
      </c>
      <c r="F76" s="7"/>
    </row>
    <row r="77" customFormat="false" ht="15" hidden="false" customHeight="false" outlineLevel="0" collapsed="false">
      <c r="A77" s="7" t="s">
        <v>185</v>
      </c>
      <c r="B77" s="7" t="s">
        <v>62</v>
      </c>
      <c r="C77" s="23" t="n">
        <v>12</v>
      </c>
      <c r="D77" s="23" t="n">
        <v>12</v>
      </c>
      <c r="E77" s="23" t="n">
        <v>18</v>
      </c>
      <c r="F77" s="7"/>
    </row>
    <row r="78" customFormat="false" ht="15" hidden="false" customHeight="false" outlineLevel="0" collapsed="false">
      <c r="A78" s="7" t="s">
        <v>186</v>
      </c>
      <c r="B78" s="7" t="s">
        <v>182</v>
      </c>
      <c r="C78" s="23" t="n">
        <v>5</v>
      </c>
      <c r="D78" s="23" t="n">
        <v>3</v>
      </c>
      <c r="E78" s="23" t="n">
        <v>3</v>
      </c>
      <c r="F78" s="7"/>
    </row>
    <row r="79" customFormat="false" ht="15" hidden="false" customHeight="false" outlineLevel="0" collapsed="false">
      <c r="A79" s="7" t="s">
        <v>187</v>
      </c>
      <c r="B79" s="7" t="s">
        <v>182</v>
      </c>
      <c r="C79" s="23" t="n">
        <v>5</v>
      </c>
      <c r="D79" s="23" t="n">
        <v>8</v>
      </c>
      <c r="E79" s="23" t="n">
        <v>11</v>
      </c>
      <c r="F79" s="7" t="s">
        <v>188</v>
      </c>
    </row>
    <row r="81" customFormat="false" ht="15" hidden="false" customHeight="false" outlineLevel="0" collapsed="false">
      <c r="A81" s="3" t="s">
        <v>189</v>
      </c>
    </row>
    <row r="82" customFormat="false" ht="15" hidden="false" customHeight="false" outlineLevel="0" collapsed="false">
      <c r="A82" s="6" t="s">
        <v>140</v>
      </c>
      <c r="B82" s="6" t="s">
        <v>51</v>
      </c>
      <c r="C82" s="6" t="s">
        <v>141</v>
      </c>
      <c r="D82" s="6" t="s">
        <v>142</v>
      </c>
      <c r="E82" s="6" t="s">
        <v>143</v>
      </c>
    </row>
    <row r="83" customFormat="false" ht="15" hidden="false" customHeight="false" outlineLevel="0" collapsed="false">
      <c r="A83" s="7" t="s">
        <v>190</v>
      </c>
      <c r="B83" s="7" t="s">
        <v>59</v>
      </c>
      <c r="C83" s="13" t="n">
        <v>0.190476190476191</v>
      </c>
      <c r="D83" s="13" t="n">
        <v>0.476190476190476</v>
      </c>
      <c r="E83" s="13" t="n">
        <v>0.619047619047619</v>
      </c>
    </row>
    <row r="84" customFormat="false" ht="15" hidden="false" customHeight="false" outlineLevel="0" collapsed="false">
      <c r="A84" s="7" t="s">
        <v>191</v>
      </c>
      <c r="B84" s="7" t="s">
        <v>79</v>
      </c>
      <c r="C84" s="23" t="n">
        <v>190</v>
      </c>
      <c r="D84" s="23" t="n">
        <v>95</v>
      </c>
      <c r="E84" s="23" t="n">
        <v>55</v>
      </c>
    </row>
    <row r="85" customFormat="false" ht="15" hidden="false" customHeight="false" outlineLevel="0" collapsed="false">
      <c r="A85" s="7" t="s">
        <v>192</v>
      </c>
      <c r="B85" s="7" t="s">
        <v>59</v>
      </c>
      <c r="C85" s="13" t="n">
        <v>0.91</v>
      </c>
      <c r="D85" s="13" t="n">
        <v>0.96</v>
      </c>
      <c r="E85" s="13" t="n">
        <v>0.98</v>
      </c>
    </row>
    <row r="86" customFormat="false" ht="15" hidden="false" customHeight="false" outlineLevel="0" collapsed="false">
      <c r="A86" s="7" t="s">
        <v>193</v>
      </c>
      <c r="B86" s="7" t="s">
        <v>108</v>
      </c>
      <c r="C86" s="23" t="n">
        <v>74</v>
      </c>
      <c r="D86" s="23" t="n">
        <v>67</v>
      </c>
      <c r="E86" s="23" t="n">
        <v>60</v>
      </c>
    </row>
    <row r="87" customFormat="false" ht="15" hidden="false" customHeight="false" outlineLevel="0" collapsed="false">
      <c r="A87" s="7" t="s">
        <v>194</v>
      </c>
      <c r="B87" s="7" t="s">
        <v>155</v>
      </c>
      <c r="C87" s="23" t="n">
        <v>3</v>
      </c>
      <c r="D87" s="23" t="n">
        <v>7</v>
      </c>
      <c r="E87" s="23" t="n">
        <v>10</v>
      </c>
    </row>
    <row r="88" customFormat="false" ht="15" hidden="false" customHeight="false" outlineLevel="0" collapsed="false">
      <c r="A88" s="7" t="s">
        <v>195</v>
      </c>
      <c r="B88" s="7" t="s">
        <v>59</v>
      </c>
      <c r="C88" s="13" t="n">
        <v>0.21</v>
      </c>
      <c r="D88" s="13" t="n">
        <v>0.64</v>
      </c>
      <c r="E88" s="13" t="n">
        <v>1</v>
      </c>
    </row>
    <row r="90" customFormat="false" ht="15" hidden="false" customHeight="false" outlineLevel="0" collapsed="false">
      <c r="A90" s="3" t="s">
        <v>196</v>
      </c>
    </row>
    <row r="91" customFormat="false" ht="15" hidden="false" customHeight="false" outlineLevel="0" collapsed="false">
      <c r="A91" s="7" t="s">
        <v>197</v>
      </c>
      <c r="B91" s="7" t="s">
        <v>182</v>
      </c>
      <c r="C91" s="24" t="n">
        <v>4</v>
      </c>
    </row>
    <row r="92" customFormat="false" ht="15" hidden="false" customHeight="false" outlineLevel="0" collapsed="false">
      <c r="A92" s="7" t="s">
        <v>198</v>
      </c>
      <c r="B92" s="7" t="s">
        <v>62</v>
      </c>
      <c r="C92" s="24" t="n">
        <v>6</v>
      </c>
    </row>
    <row r="93" customFormat="false" ht="15" hidden="false" customHeight="false" outlineLevel="0" collapsed="false">
      <c r="A93" s="7" t="s">
        <v>199</v>
      </c>
      <c r="B93" s="7" t="s">
        <v>182</v>
      </c>
      <c r="C93" s="24" t="n">
        <v>12</v>
      </c>
    </row>
    <row r="94" customFormat="false" ht="15" hidden="false" customHeight="false" outlineLevel="0" collapsed="false">
      <c r="A94" s="7" t="s">
        <v>200</v>
      </c>
      <c r="B94" s="7" t="s">
        <v>62</v>
      </c>
      <c r="C94" s="24" t="n">
        <v>9</v>
      </c>
    </row>
    <row r="95" customFormat="false" ht="15" hidden="false" customHeight="false" outlineLevel="0" collapsed="false">
      <c r="A95" s="7" t="s">
        <v>201</v>
      </c>
      <c r="B95" s="7" t="s">
        <v>82</v>
      </c>
      <c r="C95" s="19" t="n">
        <v>90000</v>
      </c>
    </row>
    <row r="96" customFormat="false" ht="15" hidden="false" customHeight="false" outlineLevel="0" collapsed="false">
      <c r="A96" s="7" t="s">
        <v>202</v>
      </c>
      <c r="B96" s="7" t="s">
        <v>82</v>
      </c>
      <c r="C96" s="19" t="n">
        <v>20000</v>
      </c>
    </row>
    <row r="97" customFormat="false" ht="15" hidden="false" customHeight="false" outlineLevel="0" collapsed="false">
      <c r="A97" s="7" t="s">
        <v>186</v>
      </c>
      <c r="B97" s="7" t="s">
        <v>182</v>
      </c>
      <c r="C97" s="24" t="n">
        <v>4</v>
      </c>
    </row>
    <row r="98" customFormat="false" ht="15" hidden="false" customHeight="false" outlineLevel="0" collapsed="false">
      <c r="A98" s="7" t="s">
        <v>187</v>
      </c>
      <c r="B98" s="7" t="s">
        <v>182</v>
      </c>
      <c r="C98" s="24" t="n">
        <v>9</v>
      </c>
    </row>
  </sheetData>
  <dataValidations count="1">
    <dataValidation allowBlank="false" errorStyle="stop" operator="between" showDropDown="false" showErrorMessage="false" showInputMessage="false" sqref="C4" type="list">
      <formula1>"1,2,3,4"</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7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 min="2" style="0" width="14"/>
    <col collapsed="false" customWidth="true" hidden="false" outlineLevel="0" max="4" min="3" style="0" width="22"/>
    <col collapsed="false" customWidth="true" hidden="false" outlineLevel="0" max="5" min="5" style="0" width="60"/>
    <col collapsed="false" customWidth="true" hidden="false" outlineLevel="0" max="6" min="6" style="0" width="16"/>
  </cols>
  <sheetData>
    <row r="1" customFormat="false" ht="17.35" hidden="false" customHeight="false" outlineLevel="0" collapsed="false">
      <c r="A1" s="1" t="s">
        <v>203</v>
      </c>
    </row>
    <row r="2" customFormat="false" ht="15" hidden="false" customHeight="false" outlineLevel="0" collapsed="false">
      <c r="A2" s="2" t="s">
        <v>204</v>
      </c>
    </row>
    <row r="4" customFormat="false" ht="15" hidden="false" customHeight="false" outlineLevel="0" collapsed="false">
      <c r="A4" s="3" t="s">
        <v>205</v>
      </c>
      <c r="C4" s="25" t="n">
        <f aca="false">Assumptions!$E$39/Assumptions!$C$39</f>
        <v>1.22110552763819</v>
      </c>
    </row>
    <row r="6" customFormat="false" ht="15" hidden="false" customHeight="false" outlineLevel="0" collapsed="false">
      <c r="A6" s="3" t="s">
        <v>206</v>
      </c>
    </row>
    <row r="7" customFormat="false" ht="15" hidden="false" customHeight="false" outlineLevel="0" collapsed="false">
      <c r="A7" s="6" t="s">
        <v>121</v>
      </c>
      <c r="B7" s="6"/>
      <c r="C7" s="6" t="s">
        <v>207</v>
      </c>
      <c r="D7" s="6" t="s">
        <v>208</v>
      </c>
    </row>
    <row r="8" customFormat="false" ht="15" hidden="false" customHeight="false" outlineLevel="0" collapsed="false">
      <c r="A8" s="7" t="s">
        <v>209</v>
      </c>
      <c r="C8" s="26" t="n">
        <f aca="false">Assumptions!$C$45</f>
        <v>5.4</v>
      </c>
      <c r="D8" s="7"/>
    </row>
    <row r="9" customFormat="false" ht="15" hidden="false" customHeight="false" outlineLevel="0" collapsed="false">
      <c r="A9" s="7" t="s">
        <v>210</v>
      </c>
      <c r="C9" s="26" t="n">
        <f aca="false">Assumptions!$C$45*($C$4-1)</f>
        <v>1.19396984924623</v>
      </c>
      <c r="D9" s="7" t="s">
        <v>211</v>
      </c>
    </row>
    <row r="10" customFormat="false" ht="15" hidden="false" customHeight="false" outlineLevel="0" collapsed="false">
      <c r="A10" s="7" t="s">
        <v>212</v>
      </c>
      <c r="C10" s="26" t="n">
        <f aca="false">-(Assumptions!$C$41/Assumptions!$C$39-Assumptions!$E$41/Assumptions!$E$39)*Assumptions!$E$39</f>
        <v>-1.07738693467337</v>
      </c>
      <c r="D10" s="7" t="s">
        <v>213</v>
      </c>
    </row>
    <row r="11" customFormat="false" ht="15" hidden="false" customHeight="false" outlineLevel="0" collapsed="false">
      <c r="A11" s="7" t="s">
        <v>214</v>
      </c>
      <c r="C11" s="26" t="n">
        <f aca="false">-(Assumptions!$E$42-Assumptions!$C$42*$C$4)</f>
        <v>0.019095477386935</v>
      </c>
      <c r="D11" s="7" t="s">
        <v>215</v>
      </c>
    </row>
    <row r="12" customFormat="false" ht="15" hidden="false" customHeight="false" outlineLevel="0" collapsed="false">
      <c r="A12" s="7" t="s">
        <v>216</v>
      </c>
      <c r="C12" s="26" t="n">
        <f aca="false">-(Assumptions!$E$43-Assumptions!$C$43*$C$4)</f>
        <v>-0.0241206030150756</v>
      </c>
      <c r="D12" s="7" t="s">
        <v>215</v>
      </c>
    </row>
    <row r="13" customFormat="false" ht="15" hidden="false" customHeight="false" outlineLevel="0" collapsed="false">
      <c r="A13" s="7" t="s">
        <v>217</v>
      </c>
      <c r="C13" s="26" t="n">
        <f aca="false">-(Assumptions!$E$44-Assumptions!$C$44*$C$4)</f>
        <v>-0.161557788944724</v>
      </c>
      <c r="D13" s="7" t="s">
        <v>218</v>
      </c>
    </row>
    <row r="14" customFormat="false" ht="15" hidden="false" customHeight="false" outlineLevel="0" collapsed="false">
      <c r="A14" s="7" t="s">
        <v>219</v>
      </c>
      <c r="C14" s="26" t="n">
        <f aca="false">SUM(C8:C13)</f>
        <v>5.35</v>
      </c>
      <c r="D14" s="7" t="s">
        <v>220</v>
      </c>
    </row>
    <row r="16" customFormat="false" ht="15" hidden="false" customHeight="false" outlineLevel="0" collapsed="false">
      <c r="A16" s="3" t="s">
        <v>221</v>
      </c>
    </row>
    <row r="17" customFormat="false" ht="15" hidden="false" customHeight="false" outlineLevel="0" collapsed="false">
      <c r="A17" s="6" t="s">
        <v>222</v>
      </c>
      <c r="B17" s="6"/>
      <c r="C17" s="6" t="s">
        <v>223</v>
      </c>
      <c r="D17" s="6" t="s">
        <v>224</v>
      </c>
      <c r="E17" s="6" t="s">
        <v>225</v>
      </c>
    </row>
    <row r="18" customFormat="false" ht="15" hidden="false" customHeight="false" outlineLevel="0" collapsed="false">
      <c r="A18" s="7" t="s">
        <v>226</v>
      </c>
      <c r="C18" s="27" t="n">
        <f aca="false">-C10*1000</f>
        <v>1077.38693467337</v>
      </c>
    </row>
    <row r="19" customFormat="false" ht="15" hidden="false" customHeight="false" outlineLevel="0" collapsed="false">
      <c r="A19" s="7" t="s">
        <v>227</v>
      </c>
      <c r="C19" s="27" t="n">
        <f aca="false">Assumptions!$E$48-Assumptions!$C$48*$C$4</f>
        <v>200.201005025126</v>
      </c>
      <c r="D19" s="12" t="n">
        <f aca="false">C19/$C$18</f>
        <v>0.185820895522388</v>
      </c>
      <c r="E19" s="7" t="s">
        <v>228</v>
      </c>
    </row>
    <row r="20" customFormat="false" ht="15" hidden="false" customHeight="false" outlineLevel="0" collapsed="false">
      <c r="A20" s="7" t="s">
        <v>229</v>
      </c>
      <c r="C20" s="27" t="n">
        <f aca="false">Assumptions!$E$47-Assumptions!$C$47*$C$4</f>
        <v>134.939698492462</v>
      </c>
      <c r="D20" s="12" t="n">
        <f aca="false">C20/$C$18</f>
        <v>0.125247201492537</v>
      </c>
      <c r="E20" s="7" t="s">
        <v>228</v>
      </c>
    </row>
    <row r="21" customFormat="false" ht="15" hidden="false" customHeight="false" outlineLevel="0" collapsed="false">
      <c r="A21" s="7" t="s">
        <v>230</v>
      </c>
      <c r="C21" s="27" t="n">
        <f aca="false">Assumptions!$E$49-Assumptions!$C$49*$C$4</f>
        <v>169.246231155779</v>
      </c>
      <c r="D21" s="12" t="n">
        <f aca="false">C21/$C$18</f>
        <v>0.157089552238806</v>
      </c>
      <c r="E21" s="7" t="s">
        <v>231</v>
      </c>
    </row>
    <row r="22" customFormat="false" ht="15" hidden="false" customHeight="false" outlineLevel="0" collapsed="false">
      <c r="A22" s="7" t="s">
        <v>232</v>
      </c>
      <c r="C22" s="27" t="n">
        <f aca="false">(Assumptions!$E$50-Assumptions!$C$50)/100*Assumptions!$E$40*1000000*Assumptions!$C$25/1000</f>
        <v>207.76</v>
      </c>
      <c r="D22" s="12" t="n">
        <f aca="false">C22/$C$18</f>
        <v>0.192836940298507</v>
      </c>
      <c r="E22" s="7" t="s">
        <v>233</v>
      </c>
    </row>
    <row r="23" customFormat="false" ht="15" hidden="false" customHeight="false" outlineLevel="0" collapsed="false">
      <c r="A23" s="3" t="s">
        <v>234</v>
      </c>
      <c r="C23" s="28" t="n">
        <f aca="false">SUM(C19:C22)</f>
        <v>712.146934673367</v>
      </c>
      <c r="D23" s="29" t="n">
        <f aca="false">C23/C18</f>
        <v>0.660994589552239</v>
      </c>
    </row>
    <row r="24" customFormat="false" ht="15" hidden="false" customHeight="false" outlineLevel="0" collapsed="false">
      <c r="A24" s="7" t="s">
        <v>235</v>
      </c>
      <c r="C24" s="27" t="n">
        <f aca="false">SUM(C19:C21)</f>
        <v>504.386934673367</v>
      </c>
      <c r="D24" s="12" t="n">
        <f aca="false">C24/C18</f>
        <v>0.468157649253731</v>
      </c>
    </row>
    <row r="25" customFormat="false" ht="15" hidden="false" customHeight="false" outlineLevel="0" collapsed="false">
      <c r="A25" s="7" t="s">
        <v>236</v>
      </c>
      <c r="C25" s="27" t="n">
        <f aca="false">C18-C23</f>
        <v>365.24</v>
      </c>
      <c r="D25" s="12" t="n">
        <f aca="false">C25/C18</f>
        <v>0.339005410447761</v>
      </c>
      <c r="E25" s="7" t="s">
        <v>237</v>
      </c>
    </row>
    <row r="27" customFormat="false" ht="15" hidden="false" customHeight="false" outlineLevel="0" collapsed="false">
      <c r="A27" s="3" t="s">
        <v>238</v>
      </c>
    </row>
    <row r="28" customFormat="false" ht="15" hidden="false" customHeight="false" outlineLevel="0" collapsed="false">
      <c r="A28" s="6" t="s">
        <v>239</v>
      </c>
      <c r="B28" s="6"/>
      <c r="C28" s="6" t="s">
        <v>82</v>
      </c>
      <c r="D28" s="6" t="s">
        <v>240</v>
      </c>
    </row>
    <row r="29" customFormat="false" ht="15" hidden="false" customHeight="false" outlineLevel="0" collapsed="false">
      <c r="A29" s="7" t="s">
        <v>241</v>
      </c>
      <c r="C29" s="27" t="n">
        <f aca="false">C19*1000</f>
        <v>200201.005025126</v>
      </c>
      <c r="D29" s="7" t="s">
        <v>242</v>
      </c>
    </row>
    <row r="30" customFormat="false" ht="15" hidden="false" customHeight="false" outlineLevel="0" collapsed="false">
      <c r="A30" s="7" t="s">
        <v>243</v>
      </c>
      <c r="C30" s="27" t="n">
        <f aca="false">C20*1000</f>
        <v>134939.698492462</v>
      </c>
      <c r="D30" s="7" t="s">
        <v>242</v>
      </c>
    </row>
    <row r="31" customFormat="false" ht="15" hidden="false" customHeight="false" outlineLevel="0" collapsed="false">
      <c r="A31" s="7" t="s">
        <v>244</v>
      </c>
      <c r="C31" s="27" t="n">
        <f aca="false">C21*1000</f>
        <v>169246.231155779</v>
      </c>
      <c r="D31" s="7" t="s">
        <v>242</v>
      </c>
    </row>
    <row r="32" customFormat="false" ht="15" hidden="false" customHeight="false" outlineLevel="0" collapsed="false">
      <c r="A32" s="7" t="s">
        <v>245</v>
      </c>
      <c r="C32" s="27" t="n">
        <f aca="false">C22*1000</f>
        <v>207760</v>
      </c>
      <c r="D32" s="7" t="s">
        <v>246</v>
      </c>
    </row>
    <row r="33" customFormat="false" ht="15" hidden="false" customHeight="false" outlineLevel="0" collapsed="false">
      <c r="A33" s="7" t="s">
        <v>247</v>
      </c>
      <c r="C33" s="27" t="n">
        <f aca="false">Assumptions!$C$21*Assumptions!$C$22/60</f>
        <v>3360</v>
      </c>
      <c r="D33" s="7" t="s">
        <v>248</v>
      </c>
    </row>
    <row r="34" customFormat="false" ht="15" hidden="false" customHeight="false" outlineLevel="0" collapsed="false">
      <c r="A34" s="7" t="s">
        <v>249</v>
      </c>
      <c r="C34" s="27" t="n">
        <f aca="false">Assumptions!$C$23*12</f>
        <v>3120</v>
      </c>
      <c r="D34" s="7" t="s">
        <v>248</v>
      </c>
    </row>
    <row r="35" customFormat="false" ht="15" hidden="false" customHeight="false" outlineLevel="0" collapsed="false">
      <c r="A35" s="7" t="s">
        <v>250</v>
      </c>
      <c r="C35" s="27" t="n">
        <f aca="false">Assumptions!$C$26*Assumptions!$C$27+Assumptions!$C$28*Assumptions!$C$29</f>
        <v>4830</v>
      </c>
      <c r="D35" s="7" t="s">
        <v>248</v>
      </c>
    </row>
    <row r="36" customFormat="false" ht="15" hidden="false" customHeight="false" outlineLevel="0" collapsed="false">
      <c r="A36" s="7" t="s">
        <v>251</v>
      </c>
      <c r="C36" s="27" t="n">
        <f aca="false">Assumptions!$E$40*1000000*Assumptions!$C$24</f>
        <v>18550000</v>
      </c>
      <c r="D36" s="7" t="s">
        <v>252</v>
      </c>
    </row>
    <row r="37" customFormat="false" ht="15" hidden="false" customHeight="false" outlineLevel="0" collapsed="false">
      <c r="A37" s="7" t="s">
        <v>253</v>
      </c>
      <c r="C37" s="16" t="n">
        <f aca="false">Assumptions!$C$18/Assumptions!$C$17</f>
        <v>34.375</v>
      </c>
      <c r="D37" s="7"/>
    </row>
    <row r="38" customFormat="false" ht="15" hidden="false" customHeight="false" outlineLevel="0" collapsed="false">
      <c r="A38" s="7" t="s">
        <v>254</v>
      </c>
      <c r="C38" s="16" t="n">
        <f aca="false">Assumptions!$C$19/Assumptions!$C$17</f>
        <v>28.6458333333333</v>
      </c>
      <c r="D38" s="7"/>
    </row>
    <row r="39" customFormat="false" ht="15" hidden="false" customHeight="false" outlineLevel="0" collapsed="false">
      <c r="A39" s="7" t="s">
        <v>255</v>
      </c>
      <c r="C39" s="16" t="n">
        <f aca="false">Assumptions!$C$20/Assumptions!$C$17</f>
        <v>25</v>
      </c>
      <c r="D39" s="7"/>
    </row>
    <row r="40" customFormat="false" ht="15" hidden="false" customHeight="false" outlineLevel="0" collapsed="false">
      <c r="A40" s="7" t="s">
        <v>256</v>
      </c>
      <c r="C40" s="27" t="n">
        <f aca="false">Assumptions!$E$40*1000000/365</f>
        <v>101643.835616438</v>
      </c>
      <c r="D40" s="7" t="s">
        <v>257</v>
      </c>
    </row>
    <row r="42" customFormat="false" ht="15" hidden="false" customHeight="false" outlineLevel="0" collapsed="false">
      <c r="A42" s="3" t="s">
        <v>258</v>
      </c>
    </row>
    <row r="43" customFormat="false" ht="15" hidden="false" customHeight="false" outlineLevel="0" collapsed="false">
      <c r="A43" s="7" t="s">
        <v>259</v>
      </c>
      <c r="C43" s="27" t="n">
        <f aca="false">C40</f>
        <v>101643.835616438</v>
      </c>
    </row>
    <row r="44" customFormat="false" ht="15" hidden="false" customHeight="false" outlineLevel="0" collapsed="false">
      <c r="A44" s="7" t="s">
        <v>260</v>
      </c>
      <c r="C44" s="27" t="n">
        <f aca="false">Assumptions!$C$30</f>
        <v>79</v>
      </c>
    </row>
    <row r="45" customFormat="false" ht="15" hidden="false" customHeight="false" outlineLevel="0" collapsed="false">
      <c r="A45" s="7" t="s">
        <v>261</v>
      </c>
      <c r="C45" s="19" t="n">
        <v>65</v>
      </c>
    </row>
    <row r="46" customFormat="false" ht="15" hidden="false" customHeight="false" outlineLevel="0" collapsed="false">
      <c r="A46" s="7" t="s">
        <v>262</v>
      </c>
      <c r="C46" s="27" t="n">
        <f aca="false">C44-C45</f>
        <v>14</v>
      </c>
    </row>
    <row r="47" customFormat="false" ht="15" hidden="false" customHeight="false" outlineLevel="0" collapsed="false">
      <c r="A47" s="7" t="s">
        <v>263</v>
      </c>
      <c r="C47" s="27" t="n">
        <f aca="false">C46*C43</f>
        <v>1423013.69863014</v>
      </c>
      <c r="D47" s="3" t="s">
        <v>264</v>
      </c>
    </row>
    <row r="48" customFormat="false" ht="15" hidden="false" customHeight="false" outlineLevel="0" collapsed="false">
      <c r="A48" s="7" t="s">
        <v>265</v>
      </c>
      <c r="C48" s="27" t="n">
        <f aca="false">Assumptions!$E$46*1000000-C45*C43</f>
        <v>1493150.68493151</v>
      </c>
    </row>
    <row r="49" customFormat="false" ht="15" hidden="false" customHeight="false" outlineLevel="0" collapsed="false">
      <c r="A49" s="7" t="s">
        <v>266</v>
      </c>
      <c r="C49" s="27" t="n">
        <f aca="false">C47*0.06</f>
        <v>85380.8219178082</v>
      </c>
    </row>
    <row r="50" customFormat="false" ht="15" hidden="false" customHeight="false" outlineLevel="0" collapsed="false">
      <c r="A50" s="7" t="s">
        <v>267</v>
      </c>
      <c r="C50" s="27" t="n">
        <f aca="false">C47*Assumptions!$C$31</f>
        <v>28460.2739726027</v>
      </c>
    </row>
    <row r="51" customFormat="false" ht="15" hidden="false" customHeight="false" outlineLevel="0" collapsed="false">
      <c r="A51" s="7" t="s">
        <v>268</v>
      </c>
      <c r="C51" s="27" t="n">
        <f aca="false">C47*Assumptions!$C$32</f>
        <v>71150.6849315069</v>
      </c>
    </row>
    <row r="53" customFormat="false" ht="15" hidden="false" customHeight="false" outlineLevel="0" collapsed="false">
      <c r="A53" s="3" t="s">
        <v>269</v>
      </c>
    </row>
    <row r="54" customFormat="false" ht="15" hidden="false" customHeight="false" outlineLevel="0" collapsed="false">
      <c r="A54" s="6" t="s">
        <v>270</v>
      </c>
      <c r="B54" s="6"/>
      <c r="C54" s="6" t="s">
        <v>271</v>
      </c>
      <c r="D54" s="6" t="s">
        <v>272</v>
      </c>
      <c r="E54" s="6" t="s">
        <v>273</v>
      </c>
      <c r="F54" s="6" t="s">
        <v>274</v>
      </c>
    </row>
    <row r="55" customFormat="false" ht="15" hidden="false" customHeight="false" outlineLevel="0" collapsed="false">
      <c r="A55" s="30" t="n">
        <v>0.3</v>
      </c>
      <c r="C55" s="27" t="n">
        <f aca="false">$C$33*A55</f>
        <v>1008</v>
      </c>
      <c r="D55" s="27" t="n">
        <f aca="false">C55*$C$37</f>
        <v>34650</v>
      </c>
      <c r="E55" s="19" t="n">
        <v>0</v>
      </c>
      <c r="F55" s="16" t="n">
        <f aca="false">C55/Assumptions!$C$17</f>
        <v>0.525</v>
      </c>
    </row>
    <row r="56" customFormat="false" ht="15" hidden="false" customHeight="false" outlineLevel="0" collapsed="false">
      <c r="A56" s="30" t="n">
        <v>0.4</v>
      </c>
      <c r="C56" s="27" t="n">
        <f aca="false">$C$33*A56</f>
        <v>1344</v>
      </c>
      <c r="D56" s="27" t="n">
        <f aca="false">C56*$C$37</f>
        <v>46200</v>
      </c>
      <c r="E56" s="19" t="n">
        <v>0</v>
      </c>
      <c r="F56" s="16" t="n">
        <f aca="false">C56/Assumptions!$C$17</f>
        <v>0.7</v>
      </c>
    </row>
    <row r="57" customFormat="false" ht="15" hidden="false" customHeight="false" outlineLevel="0" collapsed="false">
      <c r="A57" s="30" t="n">
        <v>0.5</v>
      </c>
      <c r="C57" s="27" t="n">
        <f aca="false">$C$33*A57</f>
        <v>1680</v>
      </c>
      <c r="D57" s="27" t="n">
        <f aca="false">C57*$C$37</f>
        <v>57750</v>
      </c>
      <c r="E57" s="19" t="n">
        <v>0</v>
      </c>
      <c r="F57" s="16" t="n">
        <f aca="false">C57/Assumptions!$C$17</f>
        <v>0.875</v>
      </c>
    </row>
    <row r="58" customFormat="false" ht="15" hidden="false" customHeight="false" outlineLevel="0" collapsed="false">
      <c r="A58" s="7" t="s">
        <v>275</v>
      </c>
      <c r="D58" s="27" t="n">
        <f aca="false">C33*C37</f>
        <v>115500</v>
      </c>
    </row>
    <row r="59" customFormat="false" ht="15" hidden="false" customHeight="false" outlineLevel="0" collapsed="false">
      <c r="A59" s="7" t="s">
        <v>276</v>
      </c>
      <c r="D59" s="12" t="n">
        <f aca="false">C33/(8*Assumptions!$C$17)</f>
        <v>0.21875</v>
      </c>
    </row>
    <row r="60" customFormat="false" ht="15" hidden="false" customHeight="false" outlineLevel="0" collapsed="false">
      <c r="A60" s="7" t="s">
        <v>277</v>
      </c>
    </row>
    <row r="62" customFormat="false" ht="15" hidden="false" customHeight="false" outlineLevel="0" collapsed="false">
      <c r="A62" s="3" t="s">
        <v>278</v>
      </c>
    </row>
    <row r="63" customFormat="false" ht="15" hidden="false" customHeight="false" outlineLevel="0" collapsed="false">
      <c r="A63" s="6" t="s">
        <v>279</v>
      </c>
      <c r="B63" s="6" t="s">
        <v>280</v>
      </c>
      <c r="C63" s="6" t="s">
        <v>281</v>
      </c>
      <c r="D63" s="6" t="s">
        <v>282</v>
      </c>
    </row>
    <row r="64" customFormat="false" ht="15" hidden="false" customHeight="false" outlineLevel="0" collapsed="false">
      <c r="A64" s="7" t="s">
        <v>283</v>
      </c>
      <c r="B64" s="7" t="s">
        <v>284</v>
      </c>
      <c r="C64" s="7" t="s">
        <v>285</v>
      </c>
      <c r="D64" s="7" t="s">
        <v>286</v>
      </c>
    </row>
    <row r="65" customFormat="false" ht="15" hidden="false" customHeight="false" outlineLevel="0" collapsed="false">
      <c r="A65" s="7" t="s">
        <v>287</v>
      </c>
      <c r="B65" s="7" t="s">
        <v>288</v>
      </c>
      <c r="C65" s="7" t="s">
        <v>289</v>
      </c>
      <c r="D65" s="7" t="s">
        <v>290</v>
      </c>
    </row>
    <row r="66" customFormat="false" ht="15" hidden="false" customHeight="false" outlineLevel="0" collapsed="false">
      <c r="A66" s="7" t="s">
        <v>291</v>
      </c>
      <c r="B66" s="7" t="s">
        <v>292</v>
      </c>
      <c r="C66" s="7" t="s">
        <v>293</v>
      </c>
      <c r="D66" s="7" t="s">
        <v>294</v>
      </c>
    </row>
    <row r="67" customFormat="false" ht="15" hidden="false" customHeight="false" outlineLevel="0" collapsed="false">
      <c r="A67" s="7" t="s">
        <v>295</v>
      </c>
      <c r="B67" s="7" t="s">
        <v>296</v>
      </c>
      <c r="C67" s="7" t="s">
        <v>297</v>
      </c>
      <c r="D67" s="7" t="s">
        <v>298</v>
      </c>
    </row>
    <row r="68" customFormat="false" ht="15" hidden="false" customHeight="false" outlineLevel="0" collapsed="false">
      <c r="A68" s="7" t="s">
        <v>299</v>
      </c>
      <c r="B68" s="7" t="s">
        <v>300</v>
      </c>
      <c r="C68" s="7" t="s">
        <v>301</v>
      </c>
      <c r="D68" s="7" t="s">
        <v>302</v>
      </c>
    </row>
    <row r="69" customFormat="false" ht="15" hidden="false" customHeight="false" outlineLevel="0" collapsed="false">
      <c r="A69" s="7" t="s">
        <v>303</v>
      </c>
      <c r="B69" s="7" t="s">
        <v>304</v>
      </c>
      <c r="C69" s="7" t="s">
        <v>305</v>
      </c>
      <c r="D69" s="7" t="s">
        <v>306</v>
      </c>
    </row>
    <row r="70" customFormat="false" ht="15" hidden="false" customHeight="false" outlineLevel="0" collapsed="false">
      <c r="A70" s="7" t="s">
        <v>307</v>
      </c>
      <c r="B70" s="7" t="s">
        <v>308</v>
      </c>
      <c r="C70" s="7" t="s">
        <v>309</v>
      </c>
      <c r="D70" s="7" t="s">
        <v>310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X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s>
  <sheetData>
    <row r="1" customFormat="false" ht="17.35" hidden="false" customHeight="false" outlineLevel="0" collapsed="false">
      <c r="A1" s="1" t="s">
        <v>311</v>
      </c>
    </row>
    <row r="2" customFormat="false" ht="15" hidden="false" customHeight="false" outlineLevel="0" collapsed="false">
      <c r="A2" s="2" t="s">
        <v>312</v>
      </c>
    </row>
    <row r="4" customFormat="false" ht="15" hidden="false" customHeight="false" outlineLevel="0" collapsed="false">
      <c r="A4" s="3" t="s">
        <v>313</v>
      </c>
      <c r="C4" s="3" t="n">
        <v>1</v>
      </c>
      <c r="D4" s="3" t="n">
        <v>2</v>
      </c>
      <c r="E4" s="3" t="n">
        <v>3</v>
      </c>
      <c r="F4" s="3" t="n">
        <v>4</v>
      </c>
      <c r="G4" s="3" t="n">
        <v>5</v>
      </c>
      <c r="H4" s="3" t="n">
        <v>6</v>
      </c>
      <c r="I4" s="3" t="n">
        <v>7</v>
      </c>
      <c r="J4" s="3" t="n">
        <v>8</v>
      </c>
      <c r="K4" s="3" t="n">
        <v>9</v>
      </c>
      <c r="L4" s="3" t="n">
        <v>10</v>
      </c>
      <c r="M4" s="3" t="n">
        <v>11</v>
      </c>
      <c r="N4" s="3" t="n">
        <v>12</v>
      </c>
      <c r="O4" s="3" t="n">
        <v>13</v>
      </c>
      <c r="P4" s="3" t="n">
        <v>14</v>
      </c>
      <c r="Q4" s="3" t="n">
        <v>15</v>
      </c>
      <c r="R4" s="3" t="n">
        <v>16</v>
      </c>
      <c r="S4" s="3" t="n">
        <v>17</v>
      </c>
      <c r="T4" s="3" t="n">
        <v>18</v>
      </c>
      <c r="U4" s="3" t="n">
        <v>19</v>
      </c>
      <c r="V4" s="3" t="n">
        <v>20</v>
      </c>
      <c r="W4" s="3" t="n">
        <v>21</v>
      </c>
      <c r="X4" s="3" t="n">
        <v>22</v>
      </c>
      <c r="Y4" s="3" t="n">
        <v>23</v>
      </c>
      <c r="Z4" s="3" t="n">
        <v>24</v>
      </c>
      <c r="AA4" s="3" t="n">
        <v>25</v>
      </c>
      <c r="AB4" s="3" t="n">
        <v>26</v>
      </c>
      <c r="AC4" s="3" t="n">
        <v>27</v>
      </c>
      <c r="AD4" s="3" t="n">
        <v>28</v>
      </c>
      <c r="AE4" s="3" t="n">
        <v>29</v>
      </c>
      <c r="AF4" s="3" t="n">
        <v>30</v>
      </c>
      <c r="AG4" s="3" t="n">
        <v>31</v>
      </c>
      <c r="AH4" s="3" t="n">
        <v>32</v>
      </c>
      <c r="AI4" s="3" t="n">
        <v>33</v>
      </c>
      <c r="AJ4" s="3" t="n">
        <v>34</v>
      </c>
      <c r="AK4" s="3" t="n">
        <v>35</v>
      </c>
      <c r="AL4" s="3" t="n">
        <v>36</v>
      </c>
      <c r="AM4" s="3" t="n">
        <v>37</v>
      </c>
      <c r="AN4" s="3" t="n">
        <v>38</v>
      </c>
      <c r="AO4" s="3" t="n">
        <v>39</v>
      </c>
      <c r="AP4" s="3" t="n">
        <v>40</v>
      </c>
      <c r="AQ4" s="3" t="n">
        <v>41</v>
      </c>
      <c r="AR4" s="3" t="n">
        <v>42</v>
      </c>
      <c r="AS4" s="3" t="n">
        <v>43</v>
      </c>
      <c r="AT4" s="3" t="n">
        <v>44</v>
      </c>
      <c r="AU4" s="3" t="n">
        <v>45</v>
      </c>
      <c r="AV4" s="3" t="n">
        <v>46</v>
      </c>
      <c r="AW4" s="3" t="n">
        <v>47</v>
      </c>
      <c r="AX4" s="3" t="n">
        <v>48</v>
      </c>
      <c r="AY4" s="3" t="n">
        <v>49</v>
      </c>
      <c r="AZ4" s="3" t="n">
        <v>50</v>
      </c>
      <c r="BA4" s="3" t="n">
        <v>51</v>
      </c>
      <c r="BB4" s="3" t="n">
        <v>52</v>
      </c>
      <c r="BC4" s="3" t="n">
        <v>53</v>
      </c>
      <c r="BD4" s="3" t="n">
        <v>54</v>
      </c>
      <c r="BE4" s="3" t="n">
        <v>55</v>
      </c>
      <c r="BF4" s="3" t="n">
        <v>56</v>
      </c>
      <c r="BG4" s="3" t="n">
        <v>57</v>
      </c>
      <c r="BH4" s="3" t="n">
        <v>58</v>
      </c>
      <c r="BI4" s="3" t="n">
        <v>59</v>
      </c>
      <c r="BJ4" s="3" t="n">
        <v>60</v>
      </c>
    </row>
    <row r="5" customFormat="false" ht="23.85" hidden="false" customHeight="false" outlineLevel="0" collapsed="false">
      <c r="A5" s="6" t="s">
        <v>314</v>
      </c>
      <c r="B5" s="6" t="s">
        <v>315</v>
      </c>
      <c r="C5" s="6"/>
      <c r="D5" s="6" t="s">
        <v>316</v>
      </c>
      <c r="E5" s="6" t="s">
        <v>317</v>
      </c>
      <c r="F5" s="6" t="s">
        <v>318</v>
      </c>
      <c r="G5" s="6" t="s">
        <v>319</v>
      </c>
      <c r="H5" s="6" t="s">
        <v>320</v>
      </c>
      <c r="I5" s="6" t="s">
        <v>321</v>
      </c>
      <c r="J5" s="6" t="s">
        <v>322</v>
      </c>
      <c r="K5" s="6" t="s">
        <v>323</v>
      </c>
      <c r="L5" s="6" t="s">
        <v>324</v>
      </c>
      <c r="M5" s="6" t="s">
        <v>325</v>
      </c>
      <c r="N5" s="6" t="s">
        <v>326</v>
      </c>
      <c r="O5" s="6" t="s">
        <v>327</v>
      </c>
      <c r="P5" s="6" t="s">
        <v>328</v>
      </c>
      <c r="Q5" s="6" t="s">
        <v>329</v>
      </c>
      <c r="R5" s="6" t="s">
        <v>330</v>
      </c>
      <c r="S5" s="6" t="s">
        <v>331</v>
      </c>
      <c r="T5" s="6" t="s">
        <v>332</v>
      </c>
      <c r="U5" s="6" t="s">
        <v>333</v>
      </c>
      <c r="V5" s="6" t="s">
        <v>334</v>
      </c>
      <c r="W5" s="6" t="s">
        <v>335</v>
      </c>
      <c r="X5" s="6" t="s">
        <v>336</v>
      </c>
      <c r="Y5" s="6" t="s">
        <v>337</v>
      </c>
      <c r="Z5" s="6" t="s">
        <v>338</v>
      </c>
      <c r="AA5" s="6" t="s">
        <v>339</v>
      </c>
      <c r="AB5" s="6" t="s">
        <v>340</v>
      </c>
      <c r="AC5" s="6" t="s">
        <v>341</v>
      </c>
      <c r="AD5" s="6" t="s">
        <v>342</v>
      </c>
      <c r="AE5" s="6" t="s">
        <v>343</v>
      </c>
      <c r="AF5" s="6" t="s">
        <v>344</v>
      </c>
      <c r="AG5" s="6" t="s">
        <v>345</v>
      </c>
      <c r="AH5" s="6" t="s">
        <v>346</v>
      </c>
      <c r="AI5" s="6" t="s">
        <v>347</v>
      </c>
      <c r="AJ5" s="6" t="s">
        <v>348</v>
      </c>
      <c r="AK5" s="6" t="s">
        <v>349</v>
      </c>
      <c r="AL5" s="6" t="s">
        <v>350</v>
      </c>
      <c r="AM5" s="6" t="s">
        <v>351</v>
      </c>
      <c r="AN5" s="6" t="s">
        <v>352</v>
      </c>
      <c r="AO5" s="6" t="s">
        <v>353</v>
      </c>
      <c r="AP5" s="6" t="s">
        <v>354</v>
      </c>
      <c r="AQ5" s="6" t="s">
        <v>355</v>
      </c>
      <c r="AR5" s="6" t="s">
        <v>356</v>
      </c>
      <c r="AS5" s="6" t="s">
        <v>357</v>
      </c>
      <c r="AT5" s="6" t="s">
        <v>358</v>
      </c>
      <c r="AU5" s="6" t="s">
        <v>359</v>
      </c>
      <c r="AV5" s="6" t="s">
        <v>360</v>
      </c>
      <c r="AW5" s="6" t="s">
        <v>361</v>
      </c>
      <c r="AX5" s="6" t="s">
        <v>362</v>
      </c>
      <c r="AY5" s="6" t="s">
        <v>363</v>
      </c>
      <c r="AZ5" s="6" t="s">
        <v>364</v>
      </c>
      <c r="BA5" s="6" t="s">
        <v>365</v>
      </c>
      <c r="BB5" s="6" t="s">
        <v>366</v>
      </c>
      <c r="BC5" s="6" t="s">
        <v>367</v>
      </c>
      <c r="BD5" s="6" t="s">
        <v>368</v>
      </c>
      <c r="BE5" s="6" t="s">
        <v>369</v>
      </c>
      <c r="BF5" s="6" t="s">
        <v>370</v>
      </c>
      <c r="BG5" s="6" t="s">
        <v>371</v>
      </c>
      <c r="BH5" s="6" t="s">
        <v>372</v>
      </c>
      <c r="BI5" s="6" t="s">
        <v>373</v>
      </c>
      <c r="BJ5" s="6" t="s">
        <v>374</v>
      </c>
      <c r="BK5" s="6" t="s">
        <v>375</v>
      </c>
      <c r="BM5" s="3" t="s">
        <v>376</v>
      </c>
      <c r="BS5" s="3" t="s">
        <v>377</v>
      </c>
    </row>
    <row r="6" customFormat="false" ht="15" hidden="false" customHeight="false" outlineLevel="0" collapsed="false">
      <c r="A6" s="7" t="s">
        <v>378</v>
      </c>
      <c r="C6" s="16" t="n">
        <f aca="false">MIN(1,MAX(0,(C$4-(Assumptions!$C$75+Assumptions!$C$8*0.5))/(Assumptions!$C$76*Assumptions!$C$9)))</f>
        <v>0</v>
      </c>
      <c r="D6" s="16" t="n">
        <f aca="false">MIN(1,MAX(0,(D$4-(Assumptions!$C$75+Assumptions!$C$8*0.5))/(Assumptions!$C$76*Assumptions!$C$9)))</f>
        <v>0</v>
      </c>
      <c r="E6" s="16" t="n">
        <f aca="false">MIN(1,MAX(0,(E$4-(Assumptions!$C$75+Assumptions!$C$8*0.5))/(Assumptions!$C$76*Assumptions!$C$9)))</f>
        <v>0</v>
      </c>
      <c r="F6" s="16" t="n">
        <f aca="false">MIN(1,MAX(0,(F$4-(Assumptions!$C$75+Assumptions!$C$8*0.5))/(Assumptions!$C$76*Assumptions!$C$9)))</f>
        <v>0</v>
      </c>
      <c r="G6" s="16" t="n">
        <f aca="false">MIN(1,MAX(0,(G$4-(Assumptions!$C$75+Assumptions!$C$8*0.5))/(Assumptions!$C$76*Assumptions!$C$9)))</f>
        <v>0.166666666666667</v>
      </c>
      <c r="H6" s="16" t="n">
        <f aca="false">MIN(1,MAX(0,(H$4-(Assumptions!$C$75+Assumptions!$C$8*0.5))/(Assumptions!$C$76*Assumptions!$C$9)))</f>
        <v>0.333333333333333</v>
      </c>
      <c r="I6" s="16" t="n">
        <f aca="false">MIN(1,MAX(0,(I$4-(Assumptions!$C$75+Assumptions!$C$8*0.5))/(Assumptions!$C$76*Assumptions!$C$9)))</f>
        <v>0.5</v>
      </c>
      <c r="J6" s="16" t="n">
        <f aca="false">MIN(1,MAX(0,(J$4-(Assumptions!$C$75+Assumptions!$C$8*0.5))/(Assumptions!$C$76*Assumptions!$C$9)))</f>
        <v>0.666666666666667</v>
      </c>
      <c r="K6" s="16" t="n">
        <f aca="false">MIN(1,MAX(0,(K$4-(Assumptions!$C$75+Assumptions!$C$8*0.5))/(Assumptions!$C$76*Assumptions!$C$9)))</f>
        <v>0.833333333333333</v>
      </c>
      <c r="L6" s="16" t="n">
        <f aca="false">MIN(1,MAX(0,(L$4-(Assumptions!$C$75+Assumptions!$C$8*0.5))/(Assumptions!$C$76*Assumptions!$C$9)))</f>
        <v>1</v>
      </c>
      <c r="M6" s="16" t="n">
        <f aca="false">MIN(1,MAX(0,(M$4-(Assumptions!$C$75+Assumptions!$C$8*0.5))/(Assumptions!$C$76*Assumptions!$C$9)))</f>
        <v>1</v>
      </c>
      <c r="N6" s="16" t="n">
        <f aca="false">MIN(1,MAX(0,(N$4-(Assumptions!$C$75+Assumptions!$C$8*0.5))/(Assumptions!$C$76*Assumptions!$C$9)))</f>
        <v>1</v>
      </c>
      <c r="O6" s="16" t="n">
        <f aca="false">MIN(1,MAX(0,(O$4-(Assumptions!$C$75+Assumptions!$C$8*0.5))/(Assumptions!$C$76*Assumptions!$C$9)))</f>
        <v>1</v>
      </c>
      <c r="P6" s="16" t="n">
        <f aca="false">MIN(1,MAX(0,(P$4-(Assumptions!$C$75+Assumptions!$C$8*0.5))/(Assumptions!$C$76*Assumptions!$C$9)))</f>
        <v>1</v>
      </c>
      <c r="Q6" s="16" t="n">
        <f aca="false">MIN(1,MAX(0,(Q$4-(Assumptions!$C$75+Assumptions!$C$8*0.5))/(Assumptions!$C$76*Assumptions!$C$9)))</f>
        <v>1</v>
      </c>
      <c r="R6" s="16" t="n">
        <f aca="false">MIN(1,MAX(0,(R$4-(Assumptions!$C$75+Assumptions!$C$8*0.5))/(Assumptions!$C$76*Assumptions!$C$9)))</f>
        <v>1</v>
      </c>
      <c r="S6" s="16" t="n">
        <f aca="false">MIN(1,MAX(0,(S$4-(Assumptions!$C$75+Assumptions!$C$8*0.5))/(Assumptions!$C$76*Assumptions!$C$9)))</f>
        <v>1</v>
      </c>
      <c r="T6" s="16" t="n">
        <f aca="false">MIN(1,MAX(0,(T$4-(Assumptions!$C$75+Assumptions!$C$8*0.5))/(Assumptions!$C$76*Assumptions!$C$9)))</f>
        <v>1</v>
      </c>
      <c r="U6" s="16" t="n">
        <f aca="false">MIN(1,MAX(0,(U$4-(Assumptions!$C$75+Assumptions!$C$8*0.5))/(Assumptions!$C$76*Assumptions!$C$9)))</f>
        <v>1</v>
      </c>
      <c r="V6" s="16" t="n">
        <f aca="false">MIN(1,MAX(0,(V$4-(Assumptions!$C$75+Assumptions!$C$8*0.5))/(Assumptions!$C$76*Assumptions!$C$9)))</f>
        <v>1</v>
      </c>
      <c r="W6" s="16" t="n">
        <f aca="false">MIN(1,MAX(0,(W$4-(Assumptions!$C$75+Assumptions!$C$8*0.5))/(Assumptions!$C$76*Assumptions!$C$9)))</f>
        <v>1</v>
      </c>
      <c r="X6" s="16" t="n">
        <f aca="false">MIN(1,MAX(0,(X$4-(Assumptions!$C$75+Assumptions!$C$8*0.5))/(Assumptions!$C$76*Assumptions!$C$9)))</f>
        <v>1</v>
      </c>
      <c r="Y6" s="16" t="n">
        <f aca="false">MIN(1,MAX(0,(Y$4-(Assumptions!$C$75+Assumptions!$C$8*0.5))/(Assumptions!$C$76*Assumptions!$C$9)))</f>
        <v>1</v>
      </c>
      <c r="Z6" s="16" t="n">
        <f aca="false">MIN(1,MAX(0,(Z$4-(Assumptions!$C$75+Assumptions!$C$8*0.5))/(Assumptions!$C$76*Assumptions!$C$9)))</f>
        <v>1</v>
      </c>
      <c r="AA6" s="16" t="n">
        <f aca="false">MIN(1,MAX(0,(AA$4-(Assumptions!$C$75+Assumptions!$C$8*0.5))/(Assumptions!$C$76*Assumptions!$C$9)))</f>
        <v>1</v>
      </c>
      <c r="AB6" s="16" t="n">
        <f aca="false">MIN(1,MAX(0,(AB$4-(Assumptions!$C$75+Assumptions!$C$8*0.5))/(Assumptions!$C$76*Assumptions!$C$9)))</f>
        <v>1</v>
      </c>
      <c r="AC6" s="16" t="n">
        <f aca="false">MIN(1,MAX(0,(AC$4-(Assumptions!$C$75+Assumptions!$C$8*0.5))/(Assumptions!$C$76*Assumptions!$C$9)))</f>
        <v>1</v>
      </c>
      <c r="AD6" s="16" t="n">
        <f aca="false">MIN(1,MAX(0,(AD$4-(Assumptions!$C$75+Assumptions!$C$8*0.5))/(Assumptions!$C$76*Assumptions!$C$9)))</f>
        <v>1</v>
      </c>
      <c r="AE6" s="16" t="n">
        <f aca="false">MIN(1,MAX(0,(AE$4-(Assumptions!$C$75+Assumptions!$C$8*0.5))/(Assumptions!$C$76*Assumptions!$C$9)))</f>
        <v>1</v>
      </c>
      <c r="AF6" s="16" t="n">
        <f aca="false">MIN(1,MAX(0,(AF$4-(Assumptions!$C$75+Assumptions!$C$8*0.5))/(Assumptions!$C$76*Assumptions!$C$9)))</f>
        <v>1</v>
      </c>
      <c r="AG6" s="16" t="n">
        <f aca="false">MIN(1,MAX(0,(AG$4-(Assumptions!$C$75+Assumptions!$C$8*0.5))/(Assumptions!$C$76*Assumptions!$C$9)))</f>
        <v>1</v>
      </c>
      <c r="AH6" s="16" t="n">
        <f aca="false">MIN(1,MAX(0,(AH$4-(Assumptions!$C$75+Assumptions!$C$8*0.5))/(Assumptions!$C$76*Assumptions!$C$9)))</f>
        <v>1</v>
      </c>
      <c r="AI6" s="16" t="n">
        <f aca="false">MIN(1,MAX(0,(AI$4-(Assumptions!$C$75+Assumptions!$C$8*0.5))/(Assumptions!$C$76*Assumptions!$C$9)))</f>
        <v>1</v>
      </c>
      <c r="AJ6" s="16" t="n">
        <f aca="false">MIN(1,MAX(0,(AJ$4-(Assumptions!$C$75+Assumptions!$C$8*0.5))/(Assumptions!$C$76*Assumptions!$C$9)))</f>
        <v>1</v>
      </c>
      <c r="AK6" s="16" t="n">
        <f aca="false">MIN(1,MAX(0,(AK$4-(Assumptions!$C$75+Assumptions!$C$8*0.5))/(Assumptions!$C$76*Assumptions!$C$9)))</f>
        <v>1</v>
      </c>
      <c r="AL6" s="16" t="n">
        <f aca="false">MIN(1,MAX(0,(AL$4-(Assumptions!$C$75+Assumptions!$C$8*0.5))/(Assumptions!$C$76*Assumptions!$C$9)))</f>
        <v>1</v>
      </c>
      <c r="AM6" s="16" t="n">
        <f aca="false">MIN(1,MAX(0,(AM$4-(Assumptions!$C$75+Assumptions!$C$8*0.5))/(Assumptions!$C$76*Assumptions!$C$9)))</f>
        <v>1</v>
      </c>
      <c r="AN6" s="16" t="n">
        <f aca="false">MIN(1,MAX(0,(AN$4-(Assumptions!$C$75+Assumptions!$C$8*0.5))/(Assumptions!$C$76*Assumptions!$C$9)))</f>
        <v>1</v>
      </c>
      <c r="AO6" s="16" t="n">
        <f aca="false">MIN(1,MAX(0,(AO$4-(Assumptions!$C$75+Assumptions!$C$8*0.5))/(Assumptions!$C$76*Assumptions!$C$9)))</f>
        <v>1</v>
      </c>
      <c r="AP6" s="16" t="n">
        <f aca="false">MIN(1,MAX(0,(AP$4-(Assumptions!$C$75+Assumptions!$C$8*0.5))/(Assumptions!$C$76*Assumptions!$C$9)))</f>
        <v>1</v>
      </c>
      <c r="AQ6" s="16" t="n">
        <f aca="false">MIN(1,MAX(0,(AQ$4-(Assumptions!$C$75+Assumptions!$C$8*0.5))/(Assumptions!$C$76*Assumptions!$C$9)))</f>
        <v>1</v>
      </c>
      <c r="AR6" s="16" t="n">
        <f aca="false">MIN(1,MAX(0,(AR$4-(Assumptions!$C$75+Assumptions!$C$8*0.5))/(Assumptions!$C$76*Assumptions!$C$9)))</f>
        <v>1</v>
      </c>
      <c r="AS6" s="16" t="n">
        <f aca="false">MIN(1,MAX(0,(AS$4-(Assumptions!$C$75+Assumptions!$C$8*0.5))/(Assumptions!$C$76*Assumptions!$C$9)))</f>
        <v>1</v>
      </c>
      <c r="AT6" s="16" t="n">
        <f aca="false">MIN(1,MAX(0,(AT$4-(Assumptions!$C$75+Assumptions!$C$8*0.5))/(Assumptions!$C$76*Assumptions!$C$9)))</f>
        <v>1</v>
      </c>
      <c r="AU6" s="16" t="n">
        <f aca="false">MIN(1,MAX(0,(AU$4-(Assumptions!$C$75+Assumptions!$C$8*0.5))/(Assumptions!$C$76*Assumptions!$C$9)))</f>
        <v>1</v>
      </c>
      <c r="AV6" s="16" t="n">
        <f aca="false">MIN(1,MAX(0,(AV$4-(Assumptions!$C$75+Assumptions!$C$8*0.5))/(Assumptions!$C$76*Assumptions!$C$9)))</f>
        <v>1</v>
      </c>
      <c r="AW6" s="16" t="n">
        <f aca="false">MIN(1,MAX(0,(AW$4-(Assumptions!$C$75+Assumptions!$C$8*0.5))/(Assumptions!$C$76*Assumptions!$C$9)))</f>
        <v>1</v>
      </c>
      <c r="AX6" s="16" t="n">
        <f aca="false">MIN(1,MAX(0,(AX$4-(Assumptions!$C$75+Assumptions!$C$8*0.5))/(Assumptions!$C$76*Assumptions!$C$9)))</f>
        <v>1</v>
      </c>
      <c r="AY6" s="16" t="n">
        <f aca="false">MIN(1,MAX(0,(AY$4-(Assumptions!$C$75+Assumptions!$C$8*0.5))/(Assumptions!$C$76*Assumptions!$C$9)))</f>
        <v>1</v>
      </c>
      <c r="AZ6" s="16" t="n">
        <f aca="false">MIN(1,MAX(0,(AZ$4-(Assumptions!$C$75+Assumptions!$C$8*0.5))/(Assumptions!$C$76*Assumptions!$C$9)))</f>
        <v>1</v>
      </c>
      <c r="BA6" s="16" t="n">
        <f aca="false">MIN(1,MAX(0,(BA$4-(Assumptions!$C$75+Assumptions!$C$8*0.5))/(Assumptions!$C$76*Assumptions!$C$9)))</f>
        <v>1</v>
      </c>
      <c r="BB6" s="16" t="n">
        <f aca="false">MIN(1,MAX(0,(BB$4-(Assumptions!$C$75+Assumptions!$C$8*0.5))/(Assumptions!$C$76*Assumptions!$C$9)))</f>
        <v>1</v>
      </c>
      <c r="BC6" s="16" t="n">
        <f aca="false">MIN(1,MAX(0,(BC$4-(Assumptions!$C$75+Assumptions!$C$8*0.5))/(Assumptions!$C$76*Assumptions!$C$9)))</f>
        <v>1</v>
      </c>
      <c r="BD6" s="16" t="n">
        <f aca="false">MIN(1,MAX(0,(BD$4-(Assumptions!$C$75+Assumptions!$C$8*0.5))/(Assumptions!$C$76*Assumptions!$C$9)))</f>
        <v>1</v>
      </c>
      <c r="BE6" s="16" t="n">
        <f aca="false">MIN(1,MAX(0,(BE$4-(Assumptions!$C$75+Assumptions!$C$8*0.5))/(Assumptions!$C$76*Assumptions!$C$9)))</f>
        <v>1</v>
      </c>
      <c r="BF6" s="16" t="n">
        <f aca="false">MIN(1,MAX(0,(BF$4-(Assumptions!$C$75+Assumptions!$C$8*0.5))/(Assumptions!$C$76*Assumptions!$C$9)))</f>
        <v>1</v>
      </c>
      <c r="BG6" s="16" t="n">
        <f aca="false">MIN(1,MAX(0,(BG$4-(Assumptions!$C$75+Assumptions!$C$8*0.5))/(Assumptions!$C$76*Assumptions!$C$9)))</f>
        <v>1</v>
      </c>
      <c r="BH6" s="16" t="n">
        <f aca="false">MIN(1,MAX(0,(BH$4-(Assumptions!$C$75+Assumptions!$C$8*0.5))/(Assumptions!$C$76*Assumptions!$C$9)))</f>
        <v>1</v>
      </c>
      <c r="BI6" s="16" t="n">
        <f aca="false">MIN(1,MAX(0,(BI$4-(Assumptions!$C$75+Assumptions!$C$8*0.5))/(Assumptions!$C$76*Assumptions!$C$9)))</f>
        <v>1</v>
      </c>
      <c r="BJ6" s="16" t="n">
        <f aca="false">MIN(1,MAX(0,(BJ$4-(Assumptions!$C$75+Assumptions!$C$8*0.5))/(Assumptions!$C$76*Assumptions!$C$9)))</f>
        <v>1</v>
      </c>
      <c r="BN6" s="31" t="n">
        <f aca="false">AVERAGE(C6:N6)</f>
        <v>0.458333333333333</v>
      </c>
      <c r="BO6" s="31" t="n">
        <f aca="false">AVERAGE(O6:Z6)</f>
        <v>1</v>
      </c>
      <c r="BP6" s="31" t="n">
        <f aca="false">AVERAGE(AA6:AL6)</f>
        <v>1</v>
      </c>
      <c r="BQ6" s="31" t="n">
        <f aca="false">AVERAGE(AM6:AX6)</f>
        <v>1</v>
      </c>
      <c r="BR6" s="31" t="n">
        <f aca="false">AVERAGE(AY6:BJ6)</f>
        <v>1</v>
      </c>
      <c r="BT6" s="31" t="n">
        <f aca="false">N6</f>
        <v>1</v>
      </c>
      <c r="BU6" s="31" t="n">
        <f aca="false">Z6</f>
        <v>1</v>
      </c>
      <c r="BV6" s="31" t="n">
        <f aca="false">AL6</f>
        <v>1</v>
      </c>
      <c r="BW6" s="31" t="n">
        <f aca="false">AX6</f>
        <v>1</v>
      </c>
      <c r="BX6" s="31" t="n">
        <f aca="false">BJ6</f>
        <v>1</v>
      </c>
    </row>
    <row r="7" customFormat="false" ht="15" hidden="false" customHeight="false" outlineLevel="0" collapsed="false">
      <c r="A7" s="7" t="s">
        <v>379</v>
      </c>
      <c r="C7" s="16" t="n">
        <f aca="false">MIN(1,MAX(0,(C$4-(Assumptions!$D$75+Assumptions!$C$8*1))/(Assumptions!$D$76*Assumptions!$C$9)))</f>
        <v>0</v>
      </c>
      <c r="D7" s="16" t="n">
        <f aca="false">MIN(1,MAX(0,(D$4-(Assumptions!$D$75+Assumptions!$C$8*1))/(Assumptions!$D$76*Assumptions!$C$9)))</f>
        <v>0</v>
      </c>
      <c r="E7" s="16" t="n">
        <f aca="false">MIN(1,MAX(0,(E$4-(Assumptions!$D$75+Assumptions!$C$8*1))/(Assumptions!$D$76*Assumptions!$C$9)))</f>
        <v>0</v>
      </c>
      <c r="F7" s="16" t="n">
        <f aca="false">MIN(1,MAX(0,(F$4-(Assumptions!$D$75+Assumptions!$C$8*1))/(Assumptions!$D$76*Assumptions!$C$9)))</f>
        <v>0</v>
      </c>
      <c r="G7" s="16" t="n">
        <f aca="false">MIN(1,MAX(0,(G$4-(Assumptions!$D$75+Assumptions!$C$8*1))/(Assumptions!$D$76*Assumptions!$C$9)))</f>
        <v>0</v>
      </c>
      <c r="H7" s="16" t="n">
        <f aca="false">MIN(1,MAX(0,(H$4-(Assumptions!$D$75+Assumptions!$C$8*1))/(Assumptions!$D$76*Assumptions!$C$9)))</f>
        <v>0</v>
      </c>
      <c r="I7" s="16" t="n">
        <f aca="false">MIN(1,MAX(0,(I$4-(Assumptions!$D$75+Assumptions!$C$8*1))/(Assumptions!$D$76*Assumptions!$C$9)))</f>
        <v>0</v>
      </c>
      <c r="J7" s="16" t="n">
        <f aca="false">MIN(1,MAX(0,(J$4-(Assumptions!$D$75+Assumptions!$C$8*1))/(Assumptions!$D$76*Assumptions!$C$9)))</f>
        <v>0</v>
      </c>
      <c r="K7" s="16" t="n">
        <f aca="false">MIN(1,MAX(0,(K$4-(Assumptions!$D$75+Assumptions!$C$8*1))/(Assumptions!$D$76*Assumptions!$C$9)))</f>
        <v>0</v>
      </c>
      <c r="L7" s="16" t="n">
        <f aca="false">MIN(1,MAX(0,(L$4-(Assumptions!$D$75+Assumptions!$C$8*1))/(Assumptions!$D$76*Assumptions!$C$9)))</f>
        <v>0</v>
      </c>
      <c r="M7" s="16" t="n">
        <f aca="false">MIN(1,MAX(0,(M$4-(Assumptions!$D$75+Assumptions!$C$8*1))/(Assumptions!$D$76*Assumptions!$C$9)))</f>
        <v>0</v>
      </c>
      <c r="N7" s="16" t="n">
        <f aca="false">MIN(1,MAX(0,(N$4-(Assumptions!$D$75+Assumptions!$C$8*1))/(Assumptions!$D$76*Assumptions!$C$9)))</f>
        <v>0.111111111111111</v>
      </c>
      <c r="O7" s="16" t="n">
        <f aca="false">MIN(1,MAX(0,(O$4-(Assumptions!$D$75+Assumptions!$C$8*1))/(Assumptions!$D$76*Assumptions!$C$9)))</f>
        <v>0.222222222222222</v>
      </c>
      <c r="P7" s="16" t="n">
        <f aca="false">MIN(1,MAX(0,(P$4-(Assumptions!$D$75+Assumptions!$C$8*1))/(Assumptions!$D$76*Assumptions!$C$9)))</f>
        <v>0.333333333333333</v>
      </c>
      <c r="Q7" s="16" t="n">
        <f aca="false">MIN(1,MAX(0,(Q$4-(Assumptions!$D$75+Assumptions!$C$8*1))/(Assumptions!$D$76*Assumptions!$C$9)))</f>
        <v>0.444444444444444</v>
      </c>
      <c r="R7" s="16" t="n">
        <f aca="false">MIN(1,MAX(0,(R$4-(Assumptions!$D$75+Assumptions!$C$8*1))/(Assumptions!$D$76*Assumptions!$C$9)))</f>
        <v>0.555555555555556</v>
      </c>
      <c r="S7" s="16" t="n">
        <f aca="false">MIN(1,MAX(0,(S$4-(Assumptions!$D$75+Assumptions!$C$8*1))/(Assumptions!$D$76*Assumptions!$C$9)))</f>
        <v>0.666666666666667</v>
      </c>
      <c r="T7" s="16" t="n">
        <f aca="false">MIN(1,MAX(0,(T$4-(Assumptions!$D$75+Assumptions!$C$8*1))/(Assumptions!$D$76*Assumptions!$C$9)))</f>
        <v>0.777777777777778</v>
      </c>
      <c r="U7" s="16" t="n">
        <f aca="false">MIN(1,MAX(0,(U$4-(Assumptions!$D$75+Assumptions!$C$8*1))/(Assumptions!$D$76*Assumptions!$C$9)))</f>
        <v>0.888888888888889</v>
      </c>
      <c r="V7" s="16" t="n">
        <f aca="false">MIN(1,MAX(0,(V$4-(Assumptions!$D$75+Assumptions!$C$8*1))/(Assumptions!$D$76*Assumptions!$C$9)))</f>
        <v>1</v>
      </c>
      <c r="W7" s="16" t="n">
        <f aca="false">MIN(1,MAX(0,(W$4-(Assumptions!$D$75+Assumptions!$C$8*1))/(Assumptions!$D$76*Assumptions!$C$9)))</f>
        <v>1</v>
      </c>
      <c r="X7" s="16" t="n">
        <f aca="false">MIN(1,MAX(0,(X$4-(Assumptions!$D$75+Assumptions!$C$8*1))/(Assumptions!$D$76*Assumptions!$C$9)))</f>
        <v>1</v>
      </c>
      <c r="Y7" s="16" t="n">
        <f aca="false">MIN(1,MAX(0,(Y$4-(Assumptions!$D$75+Assumptions!$C$8*1))/(Assumptions!$D$76*Assumptions!$C$9)))</f>
        <v>1</v>
      </c>
      <c r="Z7" s="16" t="n">
        <f aca="false">MIN(1,MAX(0,(Z$4-(Assumptions!$D$75+Assumptions!$C$8*1))/(Assumptions!$D$76*Assumptions!$C$9)))</f>
        <v>1</v>
      </c>
      <c r="AA7" s="16" t="n">
        <f aca="false">MIN(1,MAX(0,(AA$4-(Assumptions!$D$75+Assumptions!$C$8*1))/(Assumptions!$D$76*Assumptions!$C$9)))</f>
        <v>1</v>
      </c>
      <c r="AB7" s="16" t="n">
        <f aca="false">MIN(1,MAX(0,(AB$4-(Assumptions!$D$75+Assumptions!$C$8*1))/(Assumptions!$D$76*Assumptions!$C$9)))</f>
        <v>1</v>
      </c>
      <c r="AC7" s="16" t="n">
        <f aca="false">MIN(1,MAX(0,(AC$4-(Assumptions!$D$75+Assumptions!$C$8*1))/(Assumptions!$D$76*Assumptions!$C$9)))</f>
        <v>1</v>
      </c>
      <c r="AD7" s="16" t="n">
        <f aca="false">MIN(1,MAX(0,(AD$4-(Assumptions!$D$75+Assumptions!$C$8*1))/(Assumptions!$D$76*Assumptions!$C$9)))</f>
        <v>1</v>
      </c>
      <c r="AE7" s="16" t="n">
        <f aca="false">MIN(1,MAX(0,(AE$4-(Assumptions!$D$75+Assumptions!$C$8*1))/(Assumptions!$D$76*Assumptions!$C$9)))</f>
        <v>1</v>
      </c>
      <c r="AF7" s="16" t="n">
        <f aca="false">MIN(1,MAX(0,(AF$4-(Assumptions!$D$75+Assumptions!$C$8*1))/(Assumptions!$D$76*Assumptions!$C$9)))</f>
        <v>1</v>
      </c>
      <c r="AG7" s="16" t="n">
        <f aca="false">MIN(1,MAX(0,(AG$4-(Assumptions!$D$75+Assumptions!$C$8*1))/(Assumptions!$D$76*Assumptions!$C$9)))</f>
        <v>1</v>
      </c>
      <c r="AH7" s="16" t="n">
        <f aca="false">MIN(1,MAX(0,(AH$4-(Assumptions!$D$75+Assumptions!$C$8*1))/(Assumptions!$D$76*Assumptions!$C$9)))</f>
        <v>1</v>
      </c>
      <c r="AI7" s="16" t="n">
        <f aca="false">MIN(1,MAX(0,(AI$4-(Assumptions!$D$75+Assumptions!$C$8*1))/(Assumptions!$D$76*Assumptions!$C$9)))</f>
        <v>1</v>
      </c>
      <c r="AJ7" s="16" t="n">
        <f aca="false">MIN(1,MAX(0,(AJ$4-(Assumptions!$D$75+Assumptions!$C$8*1))/(Assumptions!$D$76*Assumptions!$C$9)))</f>
        <v>1</v>
      </c>
      <c r="AK7" s="16" t="n">
        <f aca="false">MIN(1,MAX(0,(AK$4-(Assumptions!$D$75+Assumptions!$C$8*1))/(Assumptions!$D$76*Assumptions!$C$9)))</f>
        <v>1</v>
      </c>
      <c r="AL7" s="16" t="n">
        <f aca="false">MIN(1,MAX(0,(AL$4-(Assumptions!$D$75+Assumptions!$C$8*1))/(Assumptions!$D$76*Assumptions!$C$9)))</f>
        <v>1</v>
      </c>
      <c r="AM7" s="16" t="n">
        <f aca="false">MIN(1,MAX(0,(AM$4-(Assumptions!$D$75+Assumptions!$C$8*1))/(Assumptions!$D$76*Assumptions!$C$9)))</f>
        <v>1</v>
      </c>
      <c r="AN7" s="16" t="n">
        <f aca="false">MIN(1,MAX(0,(AN$4-(Assumptions!$D$75+Assumptions!$C$8*1))/(Assumptions!$D$76*Assumptions!$C$9)))</f>
        <v>1</v>
      </c>
      <c r="AO7" s="16" t="n">
        <f aca="false">MIN(1,MAX(0,(AO$4-(Assumptions!$D$75+Assumptions!$C$8*1))/(Assumptions!$D$76*Assumptions!$C$9)))</f>
        <v>1</v>
      </c>
      <c r="AP7" s="16" t="n">
        <f aca="false">MIN(1,MAX(0,(AP$4-(Assumptions!$D$75+Assumptions!$C$8*1))/(Assumptions!$D$76*Assumptions!$C$9)))</f>
        <v>1</v>
      </c>
      <c r="AQ7" s="16" t="n">
        <f aca="false">MIN(1,MAX(0,(AQ$4-(Assumptions!$D$75+Assumptions!$C$8*1))/(Assumptions!$D$76*Assumptions!$C$9)))</f>
        <v>1</v>
      </c>
      <c r="AR7" s="16" t="n">
        <f aca="false">MIN(1,MAX(0,(AR$4-(Assumptions!$D$75+Assumptions!$C$8*1))/(Assumptions!$D$76*Assumptions!$C$9)))</f>
        <v>1</v>
      </c>
      <c r="AS7" s="16" t="n">
        <f aca="false">MIN(1,MAX(0,(AS$4-(Assumptions!$D$75+Assumptions!$C$8*1))/(Assumptions!$D$76*Assumptions!$C$9)))</f>
        <v>1</v>
      </c>
      <c r="AT7" s="16" t="n">
        <f aca="false">MIN(1,MAX(0,(AT$4-(Assumptions!$D$75+Assumptions!$C$8*1))/(Assumptions!$D$76*Assumptions!$C$9)))</f>
        <v>1</v>
      </c>
      <c r="AU7" s="16" t="n">
        <f aca="false">MIN(1,MAX(0,(AU$4-(Assumptions!$D$75+Assumptions!$C$8*1))/(Assumptions!$D$76*Assumptions!$C$9)))</f>
        <v>1</v>
      </c>
      <c r="AV7" s="16" t="n">
        <f aca="false">MIN(1,MAX(0,(AV$4-(Assumptions!$D$75+Assumptions!$C$8*1))/(Assumptions!$D$76*Assumptions!$C$9)))</f>
        <v>1</v>
      </c>
      <c r="AW7" s="16" t="n">
        <f aca="false">MIN(1,MAX(0,(AW$4-(Assumptions!$D$75+Assumptions!$C$8*1))/(Assumptions!$D$76*Assumptions!$C$9)))</f>
        <v>1</v>
      </c>
      <c r="AX7" s="16" t="n">
        <f aca="false">MIN(1,MAX(0,(AX$4-(Assumptions!$D$75+Assumptions!$C$8*1))/(Assumptions!$D$76*Assumptions!$C$9)))</f>
        <v>1</v>
      </c>
      <c r="AY7" s="16" t="n">
        <f aca="false">MIN(1,MAX(0,(AY$4-(Assumptions!$D$75+Assumptions!$C$8*1))/(Assumptions!$D$76*Assumptions!$C$9)))</f>
        <v>1</v>
      </c>
      <c r="AZ7" s="16" t="n">
        <f aca="false">MIN(1,MAX(0,(AZ$4-(Assumptions!$D$75+Assumptions!$C$8*1))/(Assumptions!$D$76*Assumptions!$C$9)))</f>
        <v>1</v>
      </c>
      <c r="BA7" s="16" t="n">
        <f aca="false">MIN(1,MAX(0,(BA$4-(Assumptions!$D$75+Assumptions!$C$8*1))/(Assumptions!$D$76*Assumptions!$C$9)))</f>
        <v>1</v>
      </c>
      <c r="BB7" s="16" t="n">
        <f aca="false">MIN(1,MAX(0,(BB$4-(Assumptions!$D$75+Assumptions!$C$8*1))/(Assumptions!$D$76*Assumptions!$C$9)))</f>
        <v>1</v>
      </c>
      <c r="BC7" s="16" t="n">
        <f aca="false">MIN(1,MAX(0,(BC$4-(Assumptions!$D$75+Assumptions!$C$8*1))/(Assumptions!$D$76*Assumptions!$C$9)))</f>
        <v>1</v>
      </c>
      <c r="BD7" s="16" t="n">
        <f aca="false">MIN(1,MAX(0,(BD$4-(Assumptions!$D$75+Assumptions!$C$8*1))/(Assumptions!$D$76*Assumptions!$C$9)))</f>
        <v>1</v>
      </c>
      <c r="BE7" s="16" t="n">
        <f aca="false">MIN(1,MAX(0,(BE$4-(Assumptions!$D$75+Assumptions!$C$8*1))/(Assumptions!$D$76*Assumptions!$C$9)))</f>
        <v>1</v>
      </c>
      <c r="BF7" s="16" t="n">
        <f aca="false">MIN(1,MAX(0,(BF$4-(Assumptions!$D$75+Assumptions!$C$8*1))/(Assumptions!$D$76*Assumptions!$C$9)))</f>
        <v>1</v>
      </c>
      <c r="BG7" s="16" t="n">
        <f aca="false">MIN(1,MAX(0,(BG$4-(Assumptions!$D$75+Assumptions!$C$8*1))/(Assumptions!$D$76*Assumptions!$C$9)))</f>
        <v>1</v>
      </c>
      <c r="BH7" s="16" t="n">
        <f aca="false">MIN(1,MAX(0,(BH$4-(Assumptions!$D$75+Assumptions!$C$8*1))/(Assumptions!$D$76*Assumptions!$C$9)))</f>
        <v>1</v>
      </c>
      <c r="BI7" s="16" t="n">
        <f aca="false">MIN(1,MAX(0,(BI$4-(Assumptions!$D$75+Assumptions!$C$8*1))/(Assumptions!$D$76*Assumptions!$C$9)))</f>
        <v>1</v>
      </c>
      <c r="BJ7" s="16" t="n">
        <f aca="false">MIN(1,MAX(0,(BJ$4-(Assumptions!$D$75+Assumptions!$C$8*1))/(Assumptions!$D$76*Assumptions!$C$9)))</f>
        <v>1</v>
      </c>
      <c r="BN7" s="31" t="n">
        <f aca="false">AVERAGE(C7:N7)</f>
        <v>0.00925925925925926</v>
      </c>
      <c r="BO7" s="31" t="n">
        <f aca="false">AVERAGE(O7:Z7)</f>
        <v>0.740740740740741</v>
      </c>
      <c r="BP7" s="31" t="n">
        <f aca="false">AVERAGE(AA7:AL7)</f>
        <v>1</v>
      </c>
      <c r="BQ7" s="31" t="n">
        <f aca="false">AVERAGE(AM7:AX7)</f>
        <v>1</v>
      </c>
      <c r="BR7" s="31" t="n">
        <f aca="false">AVERAGE(AY7:BJ7)</f>
        <v>1</v>
      </c>
      <c r="BT7" s="31" t="n">
        <f aca="false">N7</f>
        <v>0.111111111111111</v>
      </c>
      <c r="BU7" s="31" t="n">
        <f aca="false">Z7</f>
        <v>1</v>
      </c>
      <c r="BV7" s="31" t="n">
        <f aca="false">AL7</f>
        <v>1</v>
      </c>
      <c r="BW7" s="31" t="n">
        <f aca="false">AX7</f>
        <v>1</v>
      </c>
      <c r="BX7" s="31" t="n">
        <f aca="false">BJ7</f>
        <v>1</v>
      </c>
    </row>
    <row r="8" customFormat="false" ht="15" hidden="false" customHeight="false" outlineLevel="0" collapsed="false">
      <c r="A8" s="7" t="s">
        <v>380</v>
      </c>
      <c r="C8" s="16" t="n">
        <f aca="false">MIN(1,MAX(0,(C$4-(Assumptions!$E$75+Assumptions!$C$8*1))/(Assumptions!$E$76*Assumptions!$C$9)))</f>
        <v>0</v>
      </c>
      <c r="D8" s="16" t="n">
        <f aca="false">MIN(1,MAX(0,(D$4-(Assumptions!$E$75+Assumptions!$C$8*1))/(Assumptions!$E$76*Assumptions!$C$9)))</f>
        <v>0</v>
      </c>
      <c r="E8" s="16" t="n">
        <f aca="false">MIN(1,MAX(0,(E$4-(Assumptions!$E$75+Assumptions!$C$8*1))/(Assumptions!$E$76*Assumptions!$C$9)))</f>
        <v>0</v>
      </c>
      <c r="F8" s="16" t="n">
        <f aca="false">MIN(1,MAX(0,(F$4-(Assumptions!$E$75+Assumptions!$C$8*1))/(Assumptions!$E$76*Assumptions!$C$9)))</f>
        <v>0</v>
      </c>
      <c r="G8" s="16" t="n">
        <f aca="false">MIN(1,MAX(0,(G$4-(Assumptions!$E$75+Assumptions!$C$8*1))/(Assumptions!$E$76*Assumptions!$C$9)))</f>
        <v>0</v>
      </c>
      <c r="H8" s="16" t="n">
        <f aca="false">MIN(1,MAX(0,(H$4-(Assumptions!$E$75+Assumptions!$C$8*1))/(Assumptions!$E$76*Assumptions!$C$9)))</f>
        <v>0</v>
      </c>
      <c r="I8" s="16" t="n">
        <f aca="false">MIN(1,MAX(0,(I$4-(Assumptions!$E$75+Assumptions!$C$8*1))/(Assumptions!$E$76*Assumptions!$C$9)))</f>
        <v>0</v>
      </c>
      <c r="J8" s="16" t="n">
        <f aca="false">MIN(1,MAX(0,(J$4-(Assumptions!$E$75+Assumptions!$C$8*1))/(Assumptions!$E$76*Assumptions!$C$9)))</f>
        <v>0</v>
      </c>
      <c r="K8" s="16" t="n">
        <f aca="false">MIN(1,MAX(0,(K$4-(Assumptions!$E$75+Assumptions!$C$8*1))/(Assumptions!$E$76*Assumptions!$C$9)))</f>
        <v>0</v>
      </c>
      <c r="L8" s="16" t="n">
        <f aca="false">MIN(1,MAX(0,(L$4-(Assumptions!$E$75+Assumptions!$C$8*1))/(Assumptions!$E$76*Assumptions!$C$9)))</f>
        <v>0</v>
      </c>
      <c r="M8" s="16" t="n">
        <f aca="false">MIN(1,MAX(0,(M$4-(Assumptions!$E$75+Assumptions!$C$8*1))/(Assumptions!$E$76*Assumptions!$C$9)))</f>
        <v>0</v>
      </c>
      <c r="N8" s="16" t="n">
        <f aca="false">MIN(1,MAX(0,(N$4-(Assumptions!$E$75+Assumptions!$C$8*1))/(Assumptions!$E$76*Assumptions!$C$9)))</f>
        <v>0</v>
      </c>
      <c r="O8" s="16" t="n">
        <f aca="false">MIN(1,MAX(0,(O$4-(Assumptions!$E$75+Assumptions!$C$8*1))/(Assumptions!$E$76*Assumptions!$C$9)))</f>
        <v>0</v>
      </c>
      <c r="P8" s="16" t="n">
        <f aca="false">MIN(1,MAX(0,(P$4-(Assumptions!$E$75+Assumptions!$C$8*1))/(Assumptions!$E$76*Assumptions!$C$9)))</f>
        <v>0</v>
      </c>
      <c r="Q8" s="16" t="n">
        <f aca="false">MIN(1,MAX(0,(Q$4-(Assumptions!$E$75+Assumptions!$C$8*1))/(Assumptions!$E$76*Assumptions!$C$9)))</f>
        <v>0.0833333333333333</v>
      </c>
      <c r="R8" s="16" t="n">
        <f aca="false">MIN(1,MAX(0,(R$4-(Assumptions!$E$75+Assumptions!$C$8*1))/(Assumptions!$E$76*Assumptions!$C$9)))</f>
        <v>0.166666666666667</v>
      </c>
      <c r="S8" s="16" t="n">
        <f aca="false">MIN(1,MAX(0,(S$4-(Assumptions!$E$75+Assumptions!$C$8*1))/(Assumptions!$E$76*Assumptions!$C$9)))</f>
        <v>0.25</v>
      </c>
      <c r="T8" s="16" t="n">
        <f aca="false">MIN(1,MAX(0,(T$4-(Assumptions!$E$75+Assumptions!$C$8*1))/(Assumptions!$E$76*Assumptions!$C$9)))</f>
        <v>0.333333333333333</v>
      </c>
      <c r="U8" s="16" t="n">
        <f aca="false">MIN(1,MAX(0,(U$4-(Assumptions!$E$75+Assumptions!$C$8*1))/(Assumptions!$E$76*Assumptions!$C$9)))</f>
        <v>0.416666666666667</v>
      </c>
      <c r="V8" s="16" t="n">
        <f aca="false">MIN(1,MAX(0,(V$4-(Assumptions!$E$75+Assumptions!$C$8*1))/(Assumptions!$E$76*Assumptions!$C$9)))</f>
        <v>0.5</v>
      </c>
      <c r="W8" s="16" t="n">
        <f aca="false">MIN(1,MAX(0,(W$4-(Assumptions!$E$75+Assumptions!$C$8*1))/(Assumptions!$E$76*Assumptions!$C$9)))</f>
        <v>0.583333333333333</v>
      </c>
      <c r="X8" s="16" t="n">
        <f aca="false">MIN(1,MAX(0,(X$4-(Assumptions!$E$75+Assumptions!$C$8*1))/(Assumptions!$E$76*Assumptions!$C$9)))</f>
        <v>0.666666666666667</v>
      </c>
      <c r="Y8" s="16" t="n">
        <f aca="false">MIN(1,MAX(0,(Y$4-(Assumptions!$E$75+Assumptions!$C$8*1))/(Assumptions!$E$76*Assumptions!$C$9)))</f>
        <v>0.75</v>
      </c>
      <c r="Z8" s="16" t="n">
        <f aca="false">MIN(1,MAX(0,(Z$4-(Assumptions!$E$75+Assumptions!$C$8*1))/(Assumptions!$E$76*Assumptions!$C$9)))</f>
        <v>0.833333333333333</v>
      </c>
      <c r="AA8" s="16" t="n">
        <f aca="false">MIN(1,MAX(0,(AA$4-(Assumptions!$E$75+Assumptions!$C$8*1))/(Assumptions!$E$76*Assumptions!$C$9)))</f>
        <v>0.916666666666667</v>
      </c>
      <c r="AB8" s="16" t="n">
        <f aca="false">MIN(1,MAX(0,(AB$4-(Assumptions!$E$75+Assumptions!$C$8*1))/(Assumptions!$E$76*Assumptions!$C$9)))</f>
        <v>1</v>
      </c>
      <c r="AC8" s="16" t="n">
        <f aca="false">MIN(1,MAX(0,(AC$4-(Assumptions!$E$75+Assumptions!$C$8*1))/(Assumptions!$E$76*Assumptions!$C$9)))</f>
        <v>1</v>
      </c>
      <c r="AD8" s="16" t="n">
        <f aca="false">MIN(1,MAX(0,(AD$4-(Assumptions!$E$75+Assumptions!$C$8*1))/(Assumptions!$E$76*Assumptions!$C$9)))</f>
        <v>1</v>
      </c>
      <c r="AE8" s="16" t="n">
        <f aca="false">MIN(1,MAX(0,(AE$4-(Assumptions!$E$75+Assumptions!$C$8*1))/(Assumptions!$E$76*Assumptions!$C$9)))</f>
        <v>1</v>
      </c>
      <c r="AF8" s="16" t="n">
        <f aca="false">MIN(1,MAX(0,(AF$4-(Assumptions!$E$75+Assumptions!$C$8*1))/(Assumptions!$E$76*Assumptions!$C$9)))</f>
        <v>1</v>
      </c>
      <c r="AG8" s="16" t="n">
        <f aca="false">MIN(1,MAX(0,(AG$4-(Assumptions!$E$75+Assumptions!$C$8*1))/(Assumptions!$E$76*Assumptions!$C$9)))</f>
        <v>1</v>
      </c>
      <c r="AH8" s="16" t="n">
        <f aca="false">MIN(1,MAX(0,(AH$4-(Assumptions!$E$75+Assumptions!$C$8*1))/(Assumptions!$E$76*Assumptions!$C$9)))</f>
        <v>1</v>
      </c>
      <c r="AI8" s="16" t="n">
        <f aca="false">MIN(1,MAX(0,(AI$4-(Assumptions!$E$75+Assumptions!$C$8*1))/(Assumptions!$E$76*Assumptions!$C$9)))</f>
        <v>1</v>
      </c>
      <c r="AJ8" s="16" t="n">
        <f aca="false">MIN(1,MAX(0,(AJ$4-(Assumptions!$E$75+Assumptions!$C$8*1))/(Assumptions!$E$76*Assumptions!$C$9)))</f>
        <v>1</v>
      </c>
      <c r="AK8" s="16" t="n">
        <f aca="false">MIN(1,MAX(0,(AK$4-(Assumptions!$E$75+Assumptions!$C$8*1))/(Assumptions!$E$76*Assumptions!$C$9)))</f>
        <v>1</v>
      </c>
      <c r="AL8" s="16" t="n">
        <f aca="false">MIN(1,MAX(0,(AL$4-(Assumptions!$E$75+Assumptions!$C$8*1))/(Assumptions!$E$76*Assumptions!$C$9)))</f>
        <v>1</v>
      </c>
      <c r="AM8" s="16" t="n">
        <f aca="false">MIN(1,MAX(0,(AM$4-(Assumptions!$E$75+Assumptions!$C$8*1))/(Assumptions!$E$76*Assumptions!$C$9)))</f>
        <v>1</v>
      </c>
      <c r="AN8" s="16" t="n">
        <f aca="false">MIN(1,MAX(0,(AN$4-(Assumptions!$E$75+Assumptions!$C$8*1))/(Assumptions!$E$76*Assumptions!$C$9)))</f>
        <v>1</v>
      </c>
      <c r="AO8" s="16" t="n">
        <f aca="false">MIN(1,MAX(0,(AO$4-(Assumptions!$E$75+Assumptions!$C$8*1))/(Assumptions!$E$76*Assumptions!$C$9)))</f>
        <v>1</v>
      </c>
      <c r="AP8" s="16" t="n">
        <f aca="false">MIN(1,MAX(0,(AP$4-(Assumptions!$E$75+Assumptions!$C$8*1))/(Assumptions!$E$76*Assumptions!$C$9)))</f>
        <v>1</v>
      </c>
      <c r="AQ8" s="16" t="n">
        <f aca="false">MIN(1,MAX(0,(AQ$4-(Assumptions!$E$75+Assumptions!$C$8*1))/(Assumptions!$E$76*Assumptions!$C$9)))</f>
        <v>1</v>
      </c>
      <c r="AR8" s="16" t="n">
        <f aca="false">MIN(1,MAX(0,(AR$4-(Assumptions!$E$75+Assumptions!$C$8*1))/(Assumptions!$E$76*Assumptions!$C$9)))</f>
        <v>1</v>
      </c>
      <c r="AS8" s="16" t="n">
        <f aca="false">MIN(1,MAX(0,(AS$4-(Assumptions!$E$75+Assumptions!$C$8*1))/(Assumptions!$E$76*Assumptions!$C$9)))</f>
        <v>1</v>
      </c>
      <c r="AT8" s="16" t="n">
        <f aca="false">MIN(1,MAX(0,(AT$4-(Assumptions!$E$75+Assumptions!$C$8*1))/(Assumptions!$E$76*Assumptions!$C$9)))</f>
        <v>1</v>
      </c>
      <c r="AU8" s="16" t="n">
        <f aca="false">MIN(1,MAX(0,(AU$4-(Assumptions!$E$75+Assumptions!$C$8*1))/(Assumptions!$E$76*Assumptions!$C$9)))</f>
        <v>1</v>
      </c>
      <c r="AV8" s="16" t="n">
        <f aca="false">MIN(1,MAX(0,(AV$4-(Assumptions!$E$75+Assumptions!$C$8*1))/(Assumptions!$E$76*Assumptions!$C$9)))</f>
        <v>1</v>
      </c>
      <c r="AW8" s="16" t="n">
        <f aca="false">MIN(1,MAX(0,(AW$4-(Assumptions!$E$75+Assumptions!$C$8*1))/(Assumptions!$E$76*Assumptions!$C$9)))</f>
        <v>1</v>
      </c>
      <c r="AX8" s="16" t="n">
        <f aca="false">MIN(1,MAX(0,(AX$4-(Assumptions!$E$75+Assumptions!$C$8*1))/(Assumptions!$E$76*Assumptions!$C$9)))</f>
        <v>1</v>
      </c>
      <c r="AY8" s="16" t="n">
        <f aca="false">MIN(1,MAX(0,(AY$4-(Assumptions!$E$75+Assumptions!$C$8*1))/(Assumptions!$E$76*Assumptions!$C$9)))</f>
        <v>1</v>
      </c>
      <c r="AZ8" s="16" t="n">
        <f aca="false">MIN(1,MAX(0,(AZ$4-(Assumptions!$E$75+Assumptions!$C$8*1))/(Assumptions!$E$76*Assumptions!$C$9)))</f>
        <v>1</v>
      </c>
      <c r="BA8" s="16" t="n">
        <f aca="false">MIN(1,MAX(0,(BA$4-(Assumptions!$E$75+Assumptions!$C$8*1))/(Assumptions!$E$76*Assumptions!$C$9)))</f>
        <v>1</v>
      </c>
      <c r="BB8" s="16" t="n">
        <f aca="false">MIN(1,MAX(0,(BB$4-(Assumptions!$E$75+Assumptions!$C$8*1))/(Assumptions!$E$76*Assumptions!$C$9)))</f>
        <v>1</v>
      </c>
      <c r="BC8" s="16" t="n">
        <f aca="false">MIN(1,MAX(0,(BC$4-(Assumptions!$E$75+Assumptions!$C$8*1))/(Assumptions!$E$76*Assumptions!$C$9)))</f>
        <v>1</v>
      </c>
      <c r="BD8" s="16" t="n">
        <f aca="false">MIN(1,MAX(0,(BD$4-(Assumptions!$E$75+Assumptions!$C$8*1))/(Assumptions!$E$76*Assumptions!$C$9)))</f>
        <v>1</v>
      </c>
      <c r="BE8" s="16" t="n">
        <f aca="false">MIN(1,MAX(0,(BE$4-(Assumptions!$E$75+Assumptions!$C$8*1))/(Assumptions!$E$76*Assumptions!$C$9)))</f>
        <v>1</v>
      </c>
      <c r="BF8" s="16" t="n">
        <f aca="false">MIN(1,MAX(0,(BF$4-(Assumptions!$E$75+Assumptions!$C$8*1))/(Assumptions!$E$76*Assumptions!$C$9)))</f>
        <v>1</v>
      </c>
      <c r="BG8" s="16" t="n">
        <f aca="false">MIN(1,MAX(0,(BG$4-(Assumptions!$E$75+Assumptions!$C$8*1))/(Assumptions!$E$76*Assumptions!$C$9)))</f>
        <v>1</v>
      </c>
      <c r="BH8" s="16" t="n">
        <f aca="false">MIN(1,MAX(0,(BH$4-(Assumptions!$E$75+Assumptions!$C$8*1))/(Assumptions!$E$76*Assumptions!$C$9)))</f>
        <v>1</v>
      </c>
      <c r="BI8" s="16" t="n">
        <f aca="false">MIN(1,MAX(0,(BI$4-(Assumptions!$E$75+Assumptions!$C$8*1))/(Assumptions!$E$76*Assumptions!$C$9)))</f>
        <v>1</v>
      </c>
      <c r="BJ8" s="16" t="n">
        <f aca="false">MIN(1,MAX(0,(BJ$4-(Assumptions!$E$75+Assumptions!$C$8*1))/(Assumptions!$E$76*Assumptions!$C$9)))</f>
        <v>1</v>
      </c>
      <c r="BN8" s="31" t="n">
        <f aca="false">AVERAGE(C8:N8)</f>
        <v>0</v>
      </c>
      <c r="BO8" s="31" t="n">
        <f aca="false">AVERAGE(O8:Z8)</f>
        <v>0.381944444444444</v>
      </c>
      <c r="BP8" s="31" t="n">
        <f aca="false">AVERAGE(AA8:AL8)</f>
        <v>0.993055555555556</v>
      </c>
      <c r="BQ8" s="31" t="n">
        <f aca="false">AVERAGE(AM8:AX8)</f>
        <v>1</v>
      </c>
      <c r="BR8" s="31" t="n">
        <f aca="false">AVERAGE(AY8:BJ8)</f>
        <v>1</v>
      </c>
      <c r="BT8" s="31" t="n">
        <f aca="false">N8</f>
        <v>0</v>
      </c>
      <c r="BU8" s="31" t="n">
        <f aca="false">Z8</f>
        <v>0.833333333333333</v>
      </c>
      <c r="BV8" s="31" t="n">
        <f aca="false">AL8</f>
        <v>1</v>
      </c>
      <c r="BW8" s="31" t="n">
        <f aca="false">AX8</f>
        <v>1</v>
      </c>
      <c r="BX8" s="31" t="n">
        <f aca="false">BJ8</f>
        <v>1</v>
      </c>
    </row>
    <row r="9" customFormat="false" ht="15" hidden="false" customHeight="false" outlineLevel="0" collapsed="false">
      <c r="A9" s="7" t="s">
        <v>381</v>
      </c>
      <c r="C9" s="16" t="n">
        <f aca="false">MIN(1,MAX(0,(C$4-(Assumptions!$C$75+Assumptions!$C$8*0.5))/(Assumptions!$C$77*Assumptions!$C$9)))</f>
        <v>0</v>
      </c>
      <c r="D9" s="16" t="n">
        <f aca="false">MIN(1,MAX(0,(D$4-(Assumptions!$C$75+Assumptions!$C$8*0.5))/(Assumptions!$C$77*Assumptions!$C$9)))</f>
        <v>0</v>
      </c>
      <c r="E9" s="16" t="n">
        <f aca="false">MIN(1,MAX(0,(E$4-(Assumptions!$C$75+Assumptions!$C$8*0.5))/(Assumptions!$C$77*Assumptions!$C$9)))</f>
        <v>0</v>
      </c>
      <c r="F9" s="16" t="n">
        <f aca="false">MIN(1,MAX(0,(F$4-(Assumptions!$C$75+Assumptions!$C$8*0.5))/(Assumptions!$C$77*Assumptions!$C$9)))</f>
        <v>0</v>
      </c>
      <c r="G9" s="16" t="n">
        <f aca="false">MIN(1,MAX(0,(G$4-(Assumptions!$C$75+Assumptions!$C$8*0.5))/(Assumptions!$C$77*Assumptions!$C$9)))</f>
        <v>0.0833333333333333</v>
      </c>
      <c r="H9" s="16" t="n">
        <f aca="false">MIN(1,MAX(0,(H$4-(Assumptions!$C$75+Assumptions!$C$8*0.5))/(Assumptions!$C$77*Assumptions!$C$9)))</f>
        <v>0.166666666666667</v>
      </c>
      <c r="I9" s="16" t="n">
        <f aca="false">MIN(1,MAX(0,(I$4-(Assumptions!$C$75+Assumptions!$C$8*0.5))/(Assumptions!$C$77*Assumptions!$C$9)))</f>
        <v>0.25</v>
      </c>
      <c r="J9" s="16" t="n">
        <f aca="false">MIN(1,MAX(0,(J$4-(Assumptions!$C$75+Assumptions!$C$8*0.5))/(Assumptions!$C$77*Assumptions!$C$9)))</f>
        <v>0.333333333333333</v>
      </c>
      <c r="K9" s="16" t="n">
        <f aca="false">MIN(1,MAX(0,(K$4-(Assumptions!$C$75+Assumptions!$C$8*0.5))/(Assumptions!$C$77*Assumptions!$C$9)))</f>
        <v>0.416666666666667</v>
      </c>
      <c r="L9" s="16" t="n">
        <f aca="false">MIN(1,MAX(0,(L$4-(Assumptions!$C$75+Assumptions!$C$8*0.5))/(Assumptions!$C$77*Assumptions!$C$9)))</f>
        <v>0.5</v>
      </c>
      <c r="M9" s="16" t="n">
        <f aca="false">MIN(1,MAX(0,(M$4-(Assumptions!$C$75+Assumptions!$C$8*0.5))/(Assumptions!$C$77*Assumptions!$C$9)))</f>
        <v>0.583333333333333</v>
      </c>
      <c r="N9" s="16" t="n">
        <f aca="false">MIN(1,MAX(0,(N$4-(Assumptions!$C$75+Assumptions!$C$8*0.5))/(Assumptions!$C$77*Assumptions!$C$9)))</f>
        <v>0.666666666666667</v>
      </c>
      <c r="O9" s="16" t="n">
        <f aca="false">MIN(1,MAX(0,(O$4-(Assumptions!$C$75+Assumptions!$C$8*0.5))/(Assumptions!$C$77*Assumptions!$C$9)))</f>
        <v>0.75</v>
      </c>
      <c r="P9" s="16" t="n">
        <f aca="false">MIN(1,MAX(0,(P$4-(Assumptions!$C$75+Assumptions!$C$8*0.5))/(Assumptions!$C$77*Assumptions!$C$9)))</f>
        <v>0.833333333333333</v>
      </c>
      <c r="Q9" s="16" t="n">
        <f aca="false">MIN(1,MAX(0,(Q$4-(Assumptions!$C$75+Assumptions!$C$8*0.5))/(Assumptions!$C$77*Assumptions!$C$9)))</f>
        <v>0.916666666666667</v>
      </c>
      <c r="R9" s="16" t="n">
        <f aca="false">MIN(1,MAX(0,(R$4-(Assumptions!$C$75+Assumptions!$C$8*0.5))/(Assumptions!$C$77*Assumptions!$C$9)))</f>
        <v>1</v>
      </c>
      <c r="S9" s="16" t="n">
        <f aca="false">MIN(1,MAX(0,(S$4-(Assumptions!$C$75+Assumptions!$C$8*0.5))/(Assumptions!$C$77*Assumptions!$C$9)))</f>
        <v>1</v>
      </c>
      <c r="T9" s="16" t="n">
        <f aca="false">MIN(1,MAX(0,(T$4-(Assumptions!$C$75+Assumptions!$C$8*0.5))/(Assumptions!$C$77*Assumptions!$C$9)))</f>
        <v>1</v>
      </c>
      <c r="U9" s="16" t="n">
        <f aca="false">MIN(1,MAX(0,(U$4-(Assumptions!$C$75+Assumptions!$C$8*0.5))/(Assumptions!$C$77*Assumptions!$C$9)))</f>
        <v>1</v>
      </c>
      <c r="V9" s="16" t="n">
        <f aca="false">MIN(1,MAX(0,(V$4-(Assumptions!$C$75+Assumptions!$C$8*0.5))/(Assumptions!$C$77*Assumptions!$C$9)))</f>
        <v>1</v>
      </c>
      <c r="W9" s="16" t="n">
        <f aca="false">MIN(1,MAX(0,(W$4-(Assumptions!$C$75+Assumptions!$C$8*0.5))/(Assumptions!$C$77*Assumptions!$C$9)))</f>
        <v>1</v>
      </c>
      <c r="X9" s="16" t="n">
        <f aca="false">MIN(1,MAX(0,(X$4-(Assumptions!$C$75+Assumptions!$C$8*0.5))/(Assumptions!$C$77*Assumptions!$C$9)))</f>
        <v>1</v>
      </c>
      <c r="Y9" s="16" t="n">
        <f aca="false">MIN(1,MAX(0,(Y$4-(Assumptions!$C$75+Assumptions!$C$8*0.5))/(Assumptions!$C$77*Assumptions!$C$9)))</f>
        <v>1</v>
      </c>
      <c r="Z9" s="16" t="n">
        <f aca="false">MIN(1,MAX(0,(Z$4-(Assumptions!$C$75+Assumptions!$C$8*0.5))/(Assumptions!$C$77*Assumptions!$C$9)))</f>
        <v>1</v>
      </c>
      <c r="AA9" s="16" t="n">
        <f aca="false">MIN(1,MAX(0,(AA$4-(Assumptions!$C$75+Assumptions!$C$8*0.5))/(Assumptions!$C$77*Assumptions!$C$9)))</f>
        <v>1</v>
      </c>
      <c r="AB9" s="16" t="n">
        <f aca="false">MIN(1,MAX(0,(AB$4-(Assumptions!$C$75+Assumptions!$C$8*0.5))/(Assumptions!$C$77*Assumptions!$C$9)))</f>
        <v>1</v>
      </c>
      <c r="AC9" s="16" t="n">
        <f aca="false">MIN(1,MAX(0,(AC$4-(Assumptions!$C$75+Assumptions!$C$8*0.5))/(Assumptions!$C$77*Assumptions!$C$9)))</f>
        <v>1</v>
      </c>
      <c r="AD9" s="16" t="n">
        <f aca="false">MIN(1,MAX(0,(AD$4-(Assumptions!$C$75+Assumptions!$C$8*0.5))/(Assumptions!$C$77*Assumptions!$C$9)))</f>
        <v>1</v>
      </c>
      <c r="AE9" s="16" t="n">
        <f aca="false">MIN(1,MAX(0,(AE$4-(Assumptions!$C$75+Assumptions!$C$8*0.5))/(Assumptions!$C$77*Assumptions!$C$9)))</f>
        <v>1</v>
      </c>
      <c r="AF9" s="16" t="n">
        <f aca="false">MIN(1,MAX(0,(AF$4-(Assumptions!$C$75+Assumptions!$C$8*0.5))/(Assumptions!$C$77*Assumptions!$C$9)))</f>
        <v>1</v>
      </c>
      <c r="AG9" s="16" t="n">
        <f aca="false">MIN(1,MAX(0,(AG$4-(Assumptions!$C$75+Assumptions!$C$8*0.5))/(Assumptions!$C$77*Assumptions!$C$9)))</f>
        <v>1</v>
      </c>
      <c r="AH9" s="16" t="n">
        <f aca="false">MIN(1,MAX(0,(AH$4-(Assumptions!$C$75+Assumptions!$C$8*0.5))/(Assumptions!$C$77*Assumptions!$C$9)))</f>
        <v>1</v>
      </c>
      <c r="AI9" s="16" t="n">
        <f aca="false">MIN(1,MAX(0,(AI$4-(Assumptions!$C$75+Assumptions!$C$8*0.5))/(Assumptions!$C$77*Assumptions!$C$9)))</f>
        <v>1</v>
      </c>
      <c r="AJ9" s="16" t="n">
        <f aca="false">MIN(1,MAX(0,(AJ$4-(Assumptions!$C$75+Assumptions!$C$8*0.5))/(Assumptions!$C$77*Assumptions!$C$9)))</f>
        <v>1</v>
      </c>
      <c r="AK9" s="16" t="n">
        <f aca="false">MIN(1,MAX(0,(AK$4-(Assumptions!$C$75+Assumptions!$C$8*0.5))/(Assumptions!$C$77*Assumptions!$C$9)))</f>
        <v>1</v>
      </c>
      <c r="AL9" s="16" t="n">
        <f aca="false">MIN(1,MAX(0,(AL$4-(Assumptions!$C$75+Assumptions!$C$8*0.5))/(Assumptions!$C$77*Assumptions!$C$9)))</f>
        <v>1</v>
      </c>
      <c r="AM9" s="16" t="n">
        <f aca="false">MIN(1,MAX(0,(AM$4-(Assumptions!$C$75+Assumptions!$C$8*0.5))/(Assumptions!$C$77*Assumptions!$C$9)))</f>
        <v>1</v>
      </c>
      <c r="AN9" s="16" t="n">
        <f aca="false">MIN(1,MAX(0,(AN$4-(Assumptions!$C$75+Assumptions!$C$8*0.5))/(Assumptions!$C$77*Assumptions!$C$9)))</f>
        <v>1</v>
      </c>
      <c r="AO9" s="16" t="n">
        <f aca="false">MIN(1,MAX(0,(AO$4-(Assumptions!$C$75+Assumptions!$C$8*0.5))/(Assumptions!$C$77*Assumptions!$C$9)))</f>
        <v>1</v>
      </c>
      <c r="AP9" s="16" t="n">
        <f aca="false">MIN(1,MAX(0,(AP$4-(Assumptions!$C$75+Assumptions!$C$8*0.5))/(Assumptions!$C$77*Assumptions!$C$9)))</f>
        <v>1</v>
      </c>
      <c r="AQ9" s="16" t="n">
        <f aca="false">MIN(1,MAX(0,(AQ$4-(Assumptions!$C$75+Assumptions!$C$8*0.5))/(Assumptions!$C$77*Assumptions!$C$9)))</f>
        <v>1</v>
      </c>
      <c r="AR9" s="16" t="n">
        <f aca="false">MIN(1,MAX(0,(AR$4-(Assumptions!$C$75+Assumptions!$C$8*0.5))/(Assumptions!$C$77*Assumptions!$C$9)))</f>
        <v>1</v>
      </c>
      <c r="AS9" s="16" t="n">
        <f aca="false">MIN(1,MAX(0,(AS$4-(Assumptions!$C$75+Assumptions!$C$8*0.5))/(Assumptions!$C$77*Assumptions!$C$9)))</f>
        <v>1</v>
      </c>
      <c r="AT9" s="16" t="n">
        <f aca="false">MIN(1,MAX(0,(AT$4-(Assumptions!$C$75+Assumptions!$C$8*0.5))/(Assumptions!$C$77*Assumptions!$C$9)))</f>
        <v>1</v>
      </c>
      <c r="AU9" s="16" t="n">
        <f aca="false">MIN(1,MAX(0,(AU$4-(Assumptions!$C$75+Assumptions!$C$8*0.5))/(Assumptions!$C$77*Assumptions!$C$9)))</f>
        <v>1</v>
      </c>
      <c r="AV9" s="16" t="n">
        <f aca="false">MIN(1,MAX(0,(AV$4-(Assumptions!$C$75+Assumptions!$C$8*0.5))/(Assumptions!$C$77*Assumptions!$C$9)))</f>
        <v>1</v>
      </c>
      <c r="AW9" s="16" t="n">
        <f aca="false">MIN(1,MAX(0,(AW$4-(Assumptions!$C$75+Assumptions!$C$8*0.5))/(Assumptions!$C$77*Assumptions!$C$9)))</f>
        <v>1</v>
      </c>
      <c r="AX9" s="16" t="n">
        <f aca="false">MIN(1,MAX(0,(AX$4-(Assumptions!$C$75+Assumptions!$C$8*0.5))/(Assumptions!$C$77*Assumptions!$C$9)))</f>
        <v>1</v>
      </c>
      <c r="AY9" s="16" t="n">
        <f aca="false">MIN(1,MAX(0,(AY$4-(Assumptions!$C$75+Assumptions!$C$8*0.5))/(Assumptions!$C$77*Assumptions!$C$9)))</f>
        <v>1</v>
      </c>
      <c r="AZ9" s="16" t="n">
        <f aca="false">MIN(1,MAX(0,(AZ$4-(Assumptions!$C$75+Assumptions!$C$8*0.5))/(Assumptions!$C$77*Assumptions!$C$9)))</f>
        <v>1</v>
      </c>
      <c r="BA9" s="16" t="n">
        <f aca="false">MIN(1,MAX(0,(BA$4-(Assumptions!$C$75+Assumptions!$C$8*0.5))/(Assumptions!$C$77*Assumptions!$C$9)))</f>
        <v>1</v>
      </c>
      <c r="BB9" s="16" t="n">
        <f aca="false">MIN(1,MAX(0,(BB$4-(Assumptions!$C$75+Assumptions!$C$8*0.5))/(Assumptions!$C$77*Assumptions!$C$9)))</f>
        <v>1</v>
      </c>
      <c r="BC9" s="16" t="n">
        <f aca="false">MIN(1,MAX(0,(BC$4-(Assumptions!$C$75+Assumptions!$C$8*0.5))/(Assumptions!$C$77*Assumptions!$C$9)))</f>
        <v>1</v>
      </c>
      <c r="BD9" s="16" t="n">
        <f aca="false">MIN(1,MAX(0,(BD$4-(Assumptions!$C$75+Assumptions!$C$8*0.5))/(Assumptions!$C$77*Assumptions!$C$9)))</f>
        <v>1</v>
      </c>
      <c r="BE9" s="16" t="n">
        <f aca="false">MIN(1,MAX(0,(BE$4-(Assumptions!$C$75+Assumptions!$C$8*0.5))/(Assumptions!$C$77*Assumptions!$C$9)))</f>
        <v>1</v>
      </c>
      <c r="BF9" s="16" t="n">
        <f aca="false">MIN(1,MAX(0,(BF$4-(Assumptions!$C$75+Assumptions!$C$8*0.5))/(Assumptions!$C$77*Assumptions!$C$9)))</f>
        <v>1</v>
      </c>
      <c r="BG9" s="16" t="n">
        <f aca="false">MIN(1,MAX(0,(BG$4-(Assumptions!$C$75+Assumptions!$C$8*0.5))/(Assumptions!$C$77*Assumptions!$C$9)))</f>
        <v>1</v>
      </c>
      <c r="BH9" s="16" t="n">
        <f aca="false">MIN(1,MAX(0,(BH$4-(Assumptions!$C$75+Assumptions!$C$8*0.5))/(Assumptions!$C$77*Assumptions!$C$9)))</f>
        <v>1</v>
      </c>
      <c r="BI9" s="16" t="n">
        <f aca="false">MIN(1,MAX(0,(BI$4-(Assumptions!$C$75+Assumptions!$C$8*0.5))/(Assumptions!$C$77*Assumptions!$C$9)))</f>
        <v>1</v>
      </c>
      <c r="BJ9" s="16" t="n">
        <f aca="false">MIN(1,MAX(0,(BJ$4-(Assumptions!$C$75+Assumptions!$C$8*0.5))/(Assumptions!$C$77*Assumptions!$C$9)))</f>
        <v>1</v>
      </c>
      <c r="BN9" s="31" t="n">
        <f aca="false">AVERAGE(C9:N9)</f>
        <v>0.25</v>
      </c>
      <c r="BO9" s="31" t="n">
        <f aca="false">AVERAGE(O9:Z9)</f>
        <v>0.958333333333333</v>
      </c>
      <c r="BP9" s="31" t="n">
        <f aca="false">AVERAGE(AA9:AL9)</f>
        <v>1</v>
      </c>
      <c r="BQ9" s="31" t="n">
        <f aca="false">AVERAGE(AM9:AX9)</f>
        <v>1</v>
      </c>
      <c r="BR9" s="31" t="n">
        <f aca="false">AVERAGE(AY9:BJ9)</f>
        <v>1</v>
      </c>
      <c r="BT9" s="31" t="n">
        <f aca="false">N9</f>
        <v>0.666666666666667</v>
      </c>
      <c r="BU9" s="31" t="n">
        <f aca="false">Z9</f>
        <v>1</v>
      </c>
      <c r="BV9" s="31" t="n">
        <f aca="false">AL9</f>
        <v>1</v>
      </c>
      <c r="BW9" s="31" t="n">
        <f aca="false">AX9</f>
        <v>1</v>
      </c>
      <c r="BX9" s="31" t="n">
        <f aca="false">BJ9</f>
        <v>1</v>
      </c>
    </row>
    <row r="10" customFormat="false" ht="15" hidden="false" customHeight="false" outlineLevel="0" collapsed="false">
      <c r="A10" s="7" t="s">
        <v>382</v>
      </c>
      <c r="C10" s="16" t="n">
        <f aca="false">MIN(1,MAX(0,(C$4-(Assumptions!$D$75+Assumptions!$C$8*1))/(Assumptions!$D$77*Assumptions!$C$9)))</f>
        <v>0</v>
      </c>
      <c r="D10" s="16" t="n">
        <f aca="false">MIN(1,MAX(0,(D$4-(Assumptions!$D$75+Assumptions!$C$8*1))/(Assumptions!$D$77*Assumptions!$C$9)))</f>
        <v>0</v>
      </c>
      <c r="E10" s="16" t="n">
        <f aca="false">MIN(1,MAX(0,(E$4-(Assumptions!$D$75+Assumptions!$C$8*1))/(Assumptions!$D$77*Assumptions!$C$9)))</f>
        <v>0</v>
      </c>
      <c r="F10" s="16" t="n">
        <f aca="false">MIN(1,MAX(0,(F$4-(Assumptions!$D$75+Assumptions!$C$8*1))/(Assumptions!$D$77*Assumptions!$C$9)))</f>
        <v>0</v>
      </c>
      <c r="G10" s="16" t="n">
        <f aca="false">MIN(1,MAX(0,(G$4-(Assumptions!$D$75+Assumptions!$C$8*1))/(Assumptions!$D$77*Assumptions!$C$9)))</f>
        <v>0</v>
      </c>
      <c r="H10" s="16" t="n">
        <f aca="false">MIN(1,MAX(0,(H$4-(Assumptions!$D$75+Assumptions!$C$8*1))/(Assumptions!$D$77*Assumptions!$C$9)))</f>
        <v>0</v>
      </c>
      <c r="I10" s="16" t="n">
        <f aca="false">MIN(1,MAX(0,(I$4-(Assumptions!$D$75+Assumptions!$C$8*1))/(Assumptions!$D$77*Assumptions!$C$9)))</f>
        <v>0</v>
      </c>
      <c r="J10" s="16" t="n">
        <f aca="false">MIN(1,MAX(0,(J$4-(Assumptions!$D$75+Assumptions!$C$8*1))/(Assumptions!$D$77*Assumptions!$C$9)))</f>
        <v>0</v>
      </c>
      <c r="K10" s="16" t="n">
        <f aca="false">MIN(1,MAX(0,(K$4-(Assumptions!$D$75+Assumptions!$C$8*1))/(Assumptions!$D$77*Assumptions!$C$9)))</f>
        <v>0</v>
      </c>
      <c r="L10" s="16" t="n">
        <f aca="false">MIN(1,MAX(0,(L$4-(Assumptions!$D$75+Assumptions!$C$8*1))/(Assumptions!$D$77*Assumptions!$C$9)))</f>
        <v>0</v>
      </c>
      <c r="M10" s="16" t="n">
        <f aca="false">MIN(1,MAX(0,(M$4-(Assumptions!$D$75+Assumptions!$C$8*1))/(Assumptions!$D$77*Assumptions!$C$9)))</f>
        <v>0</v>
      </c>
      <c r="N10" s="16" t="n">
        <f aca="false">MIN(1,MAX(0,(N$4-(Assumptions!$D$75+Assumptions!$C$8*1))/(Assumptions!$D$77*Assumptions!$C$9)))</f>
        <v>0.0833333333333333</v>
      </c>
      <c r="O10" s="16" t="n">
        <f aca="false">MIN(1,MAX(0,(O$4-(Assumptions!$D$75+Assumptions!$C$8*1))/(Assumptions!$D$77*Assumptions!$C$9)))</f>
        <v>0.166666666666667</v>
      </c>
      <c r="P10" s="16" t="n">
        <f aca="false">MIN(1,MAX(0,(P$4-(Assumptions!$D$75+Assumptions!$C$8*1))/(Assumptions!$D$77*Assumptions!$C$9)))</f>
        <v>0.25</v>
      </c>
      <c r="Q10" s="16" t="n">
        <f aca="false">MIN(1,MAX(0,(Q$4-(Assumptions!$D$75+Assumptions!$C$8*1))/(Assumptions!$D$77*Assumptions!$C$9)))</f>
        <v>0.333333333333333</v>
      </c>
      <c r="R10" s="16" t="n">
        <f aca="false">MIN(1,MAX(0,(R$4-(Assumptions!$D$75+Assumptions!$C$8*1))/(Assumptions!$D$77*Assumptions!$C$9)))</f>
        <v>0.416666666666667</v>
      </c>
      <c r="S10" s="16" t="n">
        <f aca="false">MIN(1,MAX(0,(S$4-(Assumptions!$D$75+Assumptions!$C$8*1))/(Assumptions!$D$77*Assumptions!$C$9)))</f>
        <v>0.5</v>
      </c>
      <c r="T10" s="16" t="n">
        <f aca="false">MIN(1,MAX(0,(T$4-(Assumptions!$D$75+Assumptions!$C$8*1))/(Assumptions!$D$77*Assumptions!$C$9)))</f>
        <v>0.583333333333333</v>
      </c>
      <c r="U10" s="16" t="n">
        <f aca="false">MIN(1,MAX(0,(U$4-(Assumptions!$D$75+Assumptions!$C$8*1))/(Assumptions!$D$77*Assumptions!$C$9)))</f>
        <v>0.666666666666667</v>
      </c>
      <c r="V10" s="16" t="n">
        <f aca="false">MIN(1,MAX(0,(V$4-(Assumptions!$D$75+Assumptions!$C$8*1))/(Assumptions!$D$77*Assumptions!$C$9)))</f>
        <v>0.75</v>
      </c>
      <c r="W10" s="16" t="n">
        <f aca="false">MIN(1,MAX(0,(W$4-(Assumptions!$D$75+Assumptions!$C$8*1))/(Assumptions!$D$77*Assumptions!$C$9)))</f>
        <v>0.833333333333333</v>
      </c>
      <c r="X10" s="16" t="n">
        <f aca="false">MIN(1,MAX(0,(X$4-(Assumptions!$D$75+Assumptions!$C$8*1))/(Assumptions!$D$77*Assumptions!$C$9)))</f>
        <v>0.916666666666667</v>
      </c>
      <c r="Y10" s="16" t="n">
        <f aca="false">MIN(1,MAX(0,(Y$4-(Assumptions!$D$75+Assumptions!$C$8*1))/(Assumptions!$D$77*Assumptions!$C$9)))</f>
        <v>1</v>
      </c>
      <c r="Z10" s="16" t="n">
        <f aca="false">MIN(1,MAX(0,(Z$4-(Assumptions!$D$75+Assumptions!$C$8*1))/(Assumptions!$D$77*Assumptions!$C$9)))</f>
        <v>1</v>
      </c>
      <c r="AA10" s="16" t="n">
        <f aca="false">MIN(1,MAX(0,(AA$4-(Assumptions!$D$75+Assumptions!$C$8*1))/(Assumptions!$D$77*Assumptions!$C$9)))</f>
        <v>1</v>
      </c>
      <c r="AB10" s="16" t="n">
        <f aca="false">MIN(1,MAX(0,(AB$4-(Assumptions!$D$75+Assumptions!$C$8*1))/(Assumptions!$D$77*Assumptions!$C$9)))</f>
        <v>1</v>
      </c>
      <c r="AC10" s="16" t="n">
        <f aca="false">MIN(1,MAX(0,(AC$4-(Assumptions!$D$75+Assumptions!$C$8*1))/(Assumptions!$D$77*Assumptions!$C$9)))</f>
        <v>1</v>
      </c>
      <c r="AD10" s="16" t="n">
        <f aca="false">MIN(1,MAX(0,(AD$4-(Assumptions!$D$75+Assumptions!$C$8*1))/(Assumptions!$D$77*Assumptions!$C$9)))</f>
        <v>1</v>
      </c>
      <c r="AE10" s="16" t="n">
        <f aca="false">MIN(1,MAX(0,(AE$4-(Assumptions!$D$75+Assumptions!$C$8*1))/(Assumptions!$D$77*Assumptions!$C$9)))</f>
        <v>1</v>
      </c>
      <c r="AF10" s="16" t="n">
        <f aca="false">MIN(1,MAX(0,(AF$4-(Assumptions!$D$75+Assumptions!$C$8*1))/(Assumptions!$D$77*Assumptions!$C$9)))</f>
        <v>1</v>
      </c>
      <c r="AG10" s="16" t="n">
        <f aca="false">MIN(1,MAX(0,(AG$4-(Assumptions!$D$75+Assumptions!$C$8*1))/(Assumptions!$D$77*Assumptions!$C$9)))</f>
        <v>1</v>
      </c>
      <c r="AH10" s="16" t="n">
        <f aca="false">MIN(1,MAX(0,(AH$4-(Assumptions!$D$75+Assumptions!$C$8*1))/(Assumptions!$D$77*Assumptions!$C$9)))</f>
        <v>1</v>
      </c>
      <c r="AI10" s="16" t="n">
        <f aca="false">MIN(1,MAX(0,(AI$4-(Assumptions!$D$75+Assumptions!$C$8*1))/(Assumptions!$D$77*Assumptions!$C$9)))</f>
        <v>1</v>
      </c>
      <c r="AJ10" s="16" t="n">
        <f aca="false">MIN(1,MAX(0,(AJ$4-(Assumptions!$D$75+Assumptions!$C$8*1))/(Assumptions!$D$77*Assumptions!$C$9)))</f>
        <v>1</v>
      </c>
      <c r="AK10" s="16" t="n">
        <f aca="false">MIN(1,MAX(0,(AK$4-(Assumptions!$D$75+Assumptions!$C$8*1))/(Assumptions!$D$77*Assumptions!$C$9)))</f>
        <v>1</v>
      </c>
      <c r="AL10" s="16" t="n">
        <f aca="false">MIN(1,MAX(0,(AL$4-(Assumptions!$D$75+Assumptions!$C$8*1))/(Assumptions!$D$77*Assumptions!$C$9)))</f>
        <v>1</v>
      </c>
      <c r="AM10" s="16" t="n">
        <f aca="false">MIN(1,MAX(0,(AM$4-(Assumptions!$D$75+Assumptions!$C$8*1))/(Assumptions!$D$77*Assumptions!$C$9)))</f>
        <v>1</v>
      </c>
      <c r="AN10" s="16" t="n">
        <f aca="false">MIN(1,MAX(0,(AN$4-(Assumptions!$D$75+Assumptions!$C$8*1))/(Assumptions!$D$77*Assumptions!$C$9)))</f>
        <v>1</v>
      </c>
      <c r="AO10" s="16" t="n">
        <f aca="false">MIN(1,MAX(0,(AO$4-(Assumptions!$D$75+Assumptions!$C$8*1))/(Assumptions!$D$77*Assumptions!$C$9)))</f>
        <v>1</v>
      </c>
      <c r="AP10" s="16" t="n">
        <f aca="false">MIN(1,MAX(0,(AP$4-(Assumptions!$D$75+Assumptions!$C$8*1))/(Assumptions!$D$77*Assumptions!$C$9)))</f>
        <v>1</v>
      </c>
      <c r="AQ10" s="16" t="n">
        <f aca="false">MIN(1,MAX(0,(AQ$4-(Assumptions!$D$75+Assumptions!$C$8*1))/(Assumptions!$D$77*Assumptions!$C$9)))</f>
        <v>1</v>
      </c>
      <c r="AR10" s="16" t="n">
        <f aca="false">MIN(1,MAX(0,(AR$4-(Assumptions!$D$75+Assumptions!$C$8*1))/(Assumptions!$D$77*Assumptions!$C$9)))</f>
        <v>1</v>
      </c>
      <c r="AS10" s="16" t="n">
        <f aca="false">MIN(1,MAX(0,(AS$4-(Assumptions!$D$75+Assumptions!$C$8*1))/(Assumptions!$D$77*Assumptions!$C$9)))</f>
        <v>1</v>
      </c>
      <c r="AT10" s="16" t="n">
        <f aca="false">MIN(1,MAX(0,(AT$4-(Assumptions!$D$75+Assumptions!$C$8*1))/(Assumptions!$D$77*Assumptions!$C$9)))</f>
        <v>1</v>
      </c>
      <c r="AU10" s="16" t="n">
        <f aca="false">MIN(1,MAX(0,(AU$4-(Assumptions!$D$75+Assumptions!$C$8*1))/(Assumptions!$D$77*Assumptions!$C$9)))</f>
        <v>1</v>
      </c>
      <c r="AV10" s="16" t="n">
        <f aca="false">MIN(1,MAX(0,(AV$4-(Assumptions!$D$75+Assumptions!$C$8*1))/(Assumptions!$D$77*Assumptions!$C$9)))</f>
        <v>1</v>
      </c>
      <c r="AW10" s="16" t="n">
        <f aca="false">MIN(1,MAX(0,(AW$4-(Assumptions!$D$75+Assumptions!$C$8*1))/(Assumptions!$D$77*Assumptions!$C$9)))</f>
        <v>1</v>
      </c>
      <c r="AX10" s="16" t="n">
        <f aca="false">MIN(1,MAX(0,(AX$4-(Assumptions!$D$75+Assumptions!$C$8*1))/(Assumptions!$D$77*Assumptions!$C$9)))</f>
        <v>1</v>
      </c>
      <c r="AY10" s="16" t="n">
        <f aca="false">MIN(1,MAX(0,(AY$4-(Assumptions!$D$75+Assumptions!$C$8*1))/(Assumptions!$D$77*Assumptions!$C$9)))</f>
        <v>1</v>
      </c>
      <c r="AZ10" s="16" t="n">
        <f aca="false">MIN(1,MAX(0,(AZ$4-(Assumptions!$D$75+Assumptions!$C$8*1))/(Assumptions!$D$77*Assumptions!$C$9)))</f>
        <v>1</v>
      </c>
      <c r="BA10" s="16" t="n">
        <f aca="false">MIN(1,MAX(0,(BA$4-(Assumptions!$D$75+Assumptions!$C$8*1))/(Assumptions!$D$77*Assumptions!$C$9)))</f>
        <v>1</v>
      </c>
      <c r="BB10" s="16" t="n">
        <f aca="false">MIN(1,MAX(0,(BB$4-(Assumptions!$D$75+Assumptions!$C$8*1))/(Assumptions!$D$77*Assumptions!$C$9)))</f>
        <v>1</v>
      </c>
      <c r="BC10" s="16" t="n">
        <f aca="false">MIN(1,MAX(0,(BC$4-(Assumptions!$D$75+Assumptions!$C$8*1))/(Assumptions!$D$77*Assumptions!$C$9)))</f>
        <v>1</v>
      </c>
      <c r="BD10" s="16" t="n">
        <f aca="false">MIN(1,MAX(0,(BD$4-(Assumptions!$D$75+Assumptions!$C$8*1))/(Assumptions!$D$77*Assumptions!$C$9)))</f>
        <v>1</v>
      </c>
      <c r="BE10" s="16" t="n">
        <f aca="false">MIN(1,MAX(0,(BE$4-(Assumptions!$D$75+Assumptions!$C$8*1))/(Assumptions!$D$77*Assumptions!$C$9)))</f>
        <v>1</v>
      </c>
      <c r="BF10" s="16" t="n">
        <f aca="false">MIN(1,MAX(0,(BF$4-(Assumptions!$D$75+Assumptions!$C$8*1))/(Assumptions!$D$77*Assumptions!$C$9)))</f>
        <v>1</v>
      </c>
      <c r="BG10" s="16" t="n">
        <f aca="false">MIN(1,MAX(0,(BG$4-(Assumptions!$D$75+Assumptions!$C$8*1))/(Assumptions!$D$77*Assumptions!$C$9)))</f>
        <v>1</v>
      </c>
      <c r="BH10" s="16" t="n">
        <f aca="false">MIN(1,MAX(0,(BH$4-(Assumptions!$D$75+Assumptions!$C$8*1))/(Assumptions!$D$77*Assumptions!$C$9)))</f>
        <v>1</v>
      </c>
      <c r="BI10" s="16" t="n">
        <f aca="false">MIN(1,MAX(0,(BI$4-(Assumptions!$D$75+Assumptions!$C$8*1))/(Assumptions!$D$77*Assumptions!$C$9)))</f>
        <v>1</v>
      </c>
      <c r="BJ10" s="16" t="n">
        <f aca="false">MIN(1,MAX(0,(BJ$4-(Assumptions!$D$75+Assumptions!$C$8*1))/(Assumptions!$D$77*Assumptions!$C$9)))</f>
        <v>1</v>
      </c>
      <c r="BN10" s="31" t="n">
        <f aca="false">AVERAGE(C10:N10)</f>
        <v>0.00694444444444444</v>
      </c>
      <c r="BO10" s="31" t="n">
        <f aca="false">AVERAGE(O10:Z10)</f>
        <v>0.618055555555556</v>
      </c>
      <c r="BP10" s="31" t="n">
        <f aca="false">AVERAGE(AA10:AL10)</f>
        <v>1</v>
      </c>
      <c r="BQ10" s="31" t="n">
        <f aca="false">AVERAGE(AM10:AX10)</f>
        <v>1</v>
      </c>
      <c r="BR10" s="31" t="n">
        <f aca="false">AVERAGE(AY10:BJ10)</f>
        <v>1</v>
      </c>
      <c r="BT10" s="31" t="n">
        <f aca="false">N10</f>
        <v>0.0833333333333333</v>
      </c>
      <c r="BU10" s="31" t="n">
        <f aca="false">Z10</f>
        <v>1</v>
      </c>
      <c r="BV10" s="31" t="n">
        <f aca="false">AL10</f>
        <v>1</v>
      </c>
      <c r="BW10" s="31" t="n">
        <f aca="false">AX10</f>
        <v>1</v>
      </c>
      <c r="BX10" s="31" t="n">
        <f aca="false">BJ10</f>
        <v>1</v>
      </c>
    </row>
    <row r="11" customFormat="false" ht="15" hidden="false" customHeight="false" outlineLevel="0" collapsed="false">
      <c r="A11" s="7" t="s">
        <v>383</v>
      </c>
      <c r="C11" s="16" t="n">
        <f aca="false">MIN(1,MAX(0,(C$4-(Assumptions!$E$75+Assumptions!$C$8*1))/(Assumptions!$E$77*Assumptions!$C$9)))</f>
        <v>0</v>
      </c>
      <c r="D11" s="16" t="n">
        <f aca="false">MIN(1,MAX(0,(D$4-(Assumptions!$E$75+Assumptions!$C$8*1))/(Assumptions!$E$77*Assumptions!$C$9)))</f>
        <v>0</v>
      </c>
      <c r="E11" s="16" t="n">
        <f aca="false">MIN(1,MAX(0,(E$4-(Assumptions!$E$75+Assumptions!$C$8*1))/(Assumptions!$E$77*Assumptions!$C$9)))</f>
        <v>0</v>
      </c>
      <c r="F11" s="16" t="n">
        <f aca="false">MIN(1,MAX(0,(F$4-(Assumptions!$E$75+Assumptions!$C$8*1))/(Assumptions!$E$77*Assumptions!$C$9)))</f>
        <v>0</v>
      </c>
      <c r="G11" s="16" t="n">
        <f aca="false">MIN(1,MAX(0,(G$4-(Assumptions!$E$75+Assumptions!$C$8*1))/(Assumptions!$E$77*Assumptions!$C$9)))</f>
        <v>0</v>
      </c>
      <c r="H11" s="16" t="n">
        <f aca="false">MIN(1,MAX(0,(H$4-(Assumptions!$E$75+Assumptions!$C$8*1))/(Assumptions!$E$77*Assumptions!$C$9)))</f>
        <v>0</v>
      </c>
      <c r="I11" s="16" t="n">
        <f aca="false">MIN(1,MAX(0,(I$4-(Assumptions!$E$75+Assumptions!$C$8*1))/(Assumptions!$E$77*Assumptions!$C$9)))</f>
        <v>0</v>
      </c>
      <c r="J11" s="16" t="n">
        <f aca="false">MIN(1,MAX(0,(J$4-(Assumptions!$E$75+Assumptions!$C$8*1))/(Assumptions!$E$77*Assumptions!$C$9)))</f>
        <v>0</v>
      </c>
      <c r="K11" s="16" t="n">
        <f aca="false">MIN(1,MAX(0,(K$4-(Assumptions!$E$75+Assumptions!$C$8*1))/(Assumptions!$E$77*Assumptions!$C$9)))</f>
        <v>0</v>
      </c>
      <c r="L11" s="16" t="n">
        <f aca="false">MIN(1,MAX(0,(L$4-(Assumptions!$E$75+Assumptions!$C$8*1))/(Assumptions!$E$77*Assumptions!$C$9)))</f>
        <v>0</v>
      </c>
      <c r="M11" s="16" t="n">
        <f aca="false">MIN(1,MAX(0,(M$4-(Assumptions!$E$75+Assumptions!$C$8*1))/(Assumptions!$E$77*Assumptions!$C$9)))</f>
        <v>0</v>
      </c>
      <c r="N11" s="16" t="n">
        <f aca="false">MIN(1,MAX(0,(N$4-(Assumptions!$E$75+Assumptions!$C$8*1))/(Assumptions!$E$77*Assumptions!$C$9)))</f>
        <v>0</v>
      </c>
      <c r="O11" s="16" t="n">
        <f aca="false">MIN(1,MAX(0,(O$4-(Assumptions!$E$75+Assumptions!$C$8*1))/(Assumptions!$E$77*Assumptions!$C$9)))</f>
        <v>0</v>
      </c>
      <c r="P11" s="16" t="n">
        <f aca="false">MIN(1,MAX(0,(P$4-(Assumptions!$E$75+Assumptions!$C$8*1))/(Assumptions!$E$77*Assumptions!$C$9)))</f>
        <v>0</v>
      </c>
      <c r="Q11" s="16" t="n">
        <f aca="false">MIN(1,MAX(0,(Q$4-(Assumptions!$E$75+Assumptions!$C$8*1))/(Assumptions!$E$77*Assumptions!$C$9)))</f>
        <v>0.0555555555555556</v>
      </c>
      <c r="R11" s="16" t="n">
        <f aca="false">MIN(1,MAX(0,(R$4-(Assumptions!$E$75+Assumptions!$C$8*1))/(Assumptions!$E$77*Assumptions!$C$9)))</f>
        <v>0.111111111111111</v>
      </c>
      <c r="S11" s="16" t="n">
        <f aca="false">MIN(1,MAX(0,(S$4-(Assumptions!$E$75+Assumptions!$C$8*1))/(Assumptions!$E$77*Assumptions!$C$9)))</f>
        <v>0.166666666666667</v>
      </c>
      <c r="T11" s="16" t="n">
        <f aca="false">MIN(1,MAX(0,(T$4-(Assumptions!$E$75+Assumptions!$C$8*1))/(Assumptions!$E$77*Assumptions!$C$9)))</f>
        <v>0.222222222222222</v>
      </c>
      <c r="U11" s="16" t="n">
        <f aca="false">MIN(1,MAX(0,(U$4-(Assumptions!$E$75+Assumptions!$C$8*1))/(Assumptions!$E$77*Assumptions!$C$9)))</f>
        <v>0.277777777777778</v>
      </c>
      <c r="V11" s="16" t="n">
        <f aca="false">MIN(1,MAX(0,(V$4-(Assumptions!$E$75+Assumptions!$C$8*1))/(Assumptions!$E$77*Assumptions!$C$9)))</f>
        <v>0.333333333333333</v>
      </c>
      <c r="W11" s="16" t="n">
        <f aca="false">MIN(1,MAX(0,(W$4-(Assumptions!$E$75+Assumptions!$C$8*1))/(Assumptions!$E$77*Assumptions!$C$9)))</f>
        <v>0.388888888888889</v>
      </c>
      <c r="X11" s="16" t="n">
        <f aca="false">MIN(1,MAX(0,(X$4-(Assumptions!$E$75+Assumptions!$C$8*1))/(Assumptions!$E$77*Assumptions!$C$9)))</f>
        <v>0.444444444444444</v>
      </c>
      <c r="Y11" s="16" t="n">
        <f aca="false">MIN(1,MAX(0,(Y$4-(Assumptions!$E$75+Assumptions!$C$8*1))/(Assumptions!$E$77*Assumptions!$C$9)))</f>
        <v>0.5</v>
      </c>
      <c r="Z11" s="16" t="n">
        <f aca="false">MIN(1,MAX(0,(Z$4-(Assumptions!$E$75+Assumptions!$C$8*1))/(Assumptions!$E$77*Assumptions!$C$9)))</f>
        <v>0.555555555555556</v>
      </c>
      <c r="AA11" s="16" t="n">
        <f aca="false">MIN(1,MAX(0,(AA$4-(Assumptions!$E$75+Assumptions!$C$8*1))/(Assumptions!$E$77*Assumptions!$C$9)))</f>
        <v>0.611111111111111</v>
      </c>
      <c r="AB11" s="16" t="n">
        <f aca="false">MIN(1,MAX(0,(AB$4-(Assumptions!$E$75+Assumptions!$C$8*1))/(Assumptions!$E$77*Assumptions!$C$9)))</f>
        <v>0.666666666666667</v>
      </c>
      <c r="AC11" s="16" t="n">
        <f aca="false">MIN(1,MAX(0,(AC$4-(Assumptions!$E$75+Assumptions!$C$8*1))/(Assumptions!$E$77*Assumptions!$C$9)))</f>
        <v>0.722222222222222</v>
      </c>
      <c r="AD11" s="16" t="n">
        <f aca="false">MIN(1,MAX(0,(AD$4-(Assumptions!$E$75+Assumptions!$C$8*1))/(Assumptions!$E$77*Assumptions!$C$9)))</f>
        <v>0.777777777777778</v>
      </c>
      <c r="AE11" s="16" t="n">
        <f aca="false">MIN(1,MAX(0,(AE$4-(Assumptions!$E$75+Assumptions!$C$8*1))/(Assumptions!$E$77*Assumptions!$C$9)))</f>
        <v>0.833333333333333</v>
      </c>
      <c r="AF11" s="16" t="n">
        <f aca="false">MIN(1,MAX(0,(AF$4-(Assumptions!$E$75+Assumptions!$C$8*1))/(Assumptions!$E$77*Assumptions!$C$9)))</f>
        <v>0.888888888888889</v>
      </c>
      <c r="AG11" s="16" t="n">
        <f aca="false">MIN(1,MAX(0,(AG$4-(Assumptions!$E$75+Assumptions!$C$8*1))/(Assumptions!$E$77*Assumptions!$C$9)))</f>
        <v>0.944444444444444</v>
      </c>
      <c r="AH11" s="16" t="n">
        <f aca="false">MIN(1,MAX(0,(AH$4-(Assumptions!$E$75+Assumptions!$C$8*1))/(Assumptions!$E$77*Assumptions!$C$9)))</f>
        <v>1</v>
      </c>
      <c r="AI11" s="16" t="n">
        <f aca="false">MIN(1,MAX(0,(AI$4-(Assumptions!$E$75+Assumptions!$C$8*1))/(Assumptions!$E$77*Assumptions!$C$9)))</f>
        <v>1</v>
      </c>
      <c r="AJ11" s="16" t="n">
        <f aca="false">MIN(1,MAX(0,(AJ$4-(Assumptions!$E$75+Assumptions!$C$8*1))/(Assumptions!$E$77*Assumptions!$C$9)))</f>
        <v>1</v>
      </c>
      <c r="AK11" s="16" t="n">
        <f aca="false">MIN(1,MAX(0,(AK$4-(Assumptions!$E$75+Assumptions!$C$8*1))/(Assumptions!$E$77*Assumptions!$C$9)))</f>
        <v>1</v>
      </c>
      <c r="AL11" s="16" t="n">
        <f aca="false">MIN(1,MAX(0,(AL$4-(Assumptions!$E$75+Assumptions!$C$8*1))/(Assumptions!$E$77*Assumptions!$C$9)))</f>
        <v>1</v>
      </c>
      <c r="AM11" s="16" t="n">
        <f aca="false">MIN(1,MAX(0,(AM$4-(Assumptions!$E$75+Assumptions!$C$8*1))/(Assumptions!$E$77*Assumptions!$C$9)))</f>
        <v>1</v>
      </c>
      <c r="AN11" s="16" t="n">
        <f aca="false">MIN(1,MAX(0,(AN$4-(Assumptions!$E$75+Assumptions!$C$8*1))/(Assumptions!$E$77*Assumptions!$C$9)))</f>
        <v>1</v>
      </c>
      <c r="AO11" s="16" t="n">
        <f aca="false">MIN(1,MAX(0,(AO$4-(Assumptions!$E$75+Assumptions!$C$8*1))/(Assumptions!$E$77*Assumptions!$C$9)))</f>
        <v>1</v>
      </c>
      <c r="AP11" s="16" t="n">
        <f aca="false">MIN(1,MAX(0,(AP$4-(Assumptions!$E$75+Assumptions!$C$8*1))/(Assumptions!$E$77*Assumptions!$C$9)))</f>
        <v>1</v>
      </c>
      <c r="AQ11" s="16" t="n">
        <f aca="false">MIN(1,MAX(0,(AQ$4-(Assumptions!$E$75+Assumptions!$C$8*1))/(Assumptions!$E$77*Assumptions!$C$9)))</f>
        <v>1</v>
      </c>
      <c r="AR11" s="16" t="n">
        <f aca="false">MIN(1,MAX(0,(AR$4-(Assumptions!$E$75+Assumptions!$C$8*1))/(Assumptions!$E$77*Assumptions!$C$9)))</f>
        <v>1</v>
      </c>
      <c r="AS11" s="16" t="n">
        <f aca="false">MIN(1,MAX(0,(AS$4-(Assumptions!$E$75+Assumptions!$C$8*1))/(Assumptions!$E$77*Assumptions!$C$9)))</f>
        <v>1</v>
      </c>
      <c r="AT11" s="16" t="n">
        <f aca="false">MIN(1,MAX(0,(AT$4-(Assumptions!$E$75+Assumptions!$C$8*1))/(Assumptions!$E$77*Assumptions!$C$9)))</f>
        <v>1</v>
      </c>
      <c r="AU11" s="16" t="n">
        <f aca="false">MIN(1,MAX(0,(AU$4-(Assumptions!$E$75+Assumptions!$C$8*1))/(Assumptions!$E$77*Assumptions!$C$9)))</f>
        <v>1</v>
      </c>
      <c r="AV11" s="16" t="n">
        <f aca="false">MIN(1,MAX(0,(AV$4-(Assumptions!$E$75+Assumptions!$C$8*1))/(Assumptions!$E$77*Assumptions!$C$9)))</f>
        <v>1</v>
      </c>
      <c r="AW11" s="16" t="n">
        <f aca="false">MIN(1,MAX(0,(AW$4-(Assumptions!$E$75+Assumptions!$C$8*1))/(Assumptions!$E$77*Assumptions!$C$9)))</f>
        <v>1</v>
      </c>
      <c r="AX11" s="16" t="n">
        <f aca="false">MIN(1,MAX(0,(AX$4-(Assumptions!$E$75+Assumptions!$C$8*1))/(Assumptions!$E$77*Assumptions!$C$9)))</f>
        <v>1</v>
      </c>
      <c r="AY11" s="16" t="n">
        <f aca="false">MIN(1,MAX(0,(AY$4-(Assumptions!$E$75+Assumptions!$C$8*1))/(Assumptions!$E$77*Assumptions!$C$9)))</f>
        <v>1</v>
      </c>
      <c r="AZ11" s="16" t="n">
        <f aca="false">MIN(1,MAX(0,(AZ$4-(Assumptions!$E$75+Assumptions!$C$8*1))/(Assumptions!$E$77*Assumptions!$C$9)))</f>
        <v>1</v>
      </c>
      <c r="BA11" s="16" t="n">
        <f aca="false">MIN(1,MAX(0,(BA$4-(Assumptions!$E$75+Assumptions!$C$8*1))/(Assumptions!$E$77*Assumptions!$C$9)))</f>
        <v>1</v>
      </c>
      <c r="BB11" s="16" t="n">
        <f aca="false">MIN(1,MAX(0,(BB$4-(Assumptions!$E$75+Assumptions!$C$8*1))/(Assumptions!$E$77*Assumptions!$C$9)))</f>
        <v>1</v>
      </c>
      <c r="BC11" s="16" t="n">
        <f aca="false">MIN(1,MAX(0,(BC$4-(Assumptions!$E$75+Assumptions!$C$8*1))/(Assumptions!$E$77*Assumptions!$C$9)))</f>
        <v>1</v>
      </c>
      <c r="BD11" s="16" t="n">
        <f aca="false">MIN(1,MAX(0,(BD$4-(Assumptions!$E$75+Assumptions!$C$8*1))/(Assumptions!$E$77*Assumptions!$C$9)))</f>
        <v>1</v>
      </c>
      <c r="BE11" s="16" t="n">
        <f aca="false">MIN(1,MAX(0,(BE$4-(Assumptions!$E$75+Assumptions!$C$8*1))/(Assumptions!$E$77*Assumptions!$C$9)))</f>
        <v>1</v>
      </c>
      <c r="BF11" s="16" t="n">
        <f aca="false">MIN(1,MAX(0,(BF$4-(Assumptions!$E$75+Assumptions!$C$8*1))/(Assumptions!$E$77*Assumptions!$C$9)))</f>
        <v>1</v>
      </c>
      <c r="BG11" s="16" t="n">
        <f aca="false">MIN(1,MAX(0,(BG$4-(Assumptions!$E$75+Assumptions!$C$8*1))/(Assumptions!$E$77*Assumptions!$C$9)))</f>
        <v>1</v>
      </c>
      <c r="BH11" s="16" t="n">
        <f aca="false">MIN(1,MAX(0,(BH$4-(Assumptions!$E$75+Assumptions!$C$8*1))/(Assumptions!$E$77*Assumptions!$C$9)))</f>
        <v>1</v>
      </c>
      <c r="BI11" s="16" t="n">
        <f aca="false">MIN(1,MAX(0,(BI$4-(Assumptions!$E$75+Assumptions!$C$8*1))/(Assumptions!$E$77*Assumptions!$C$9)))</f>
        <v>1</v>
      </c>
      <c r="BJ11" s="16" t="n">
        <f aca="false">MIN(1,MAX(0,(BJ$4-(Assumptions!$E$75+Assumptions!$C$8*1))/(Assumptions!$E$77*Assumptions!$C$9)))</f>
        <v>1</v>
      </c>
      <c r="BN11" s="31" t="n">
        <f aca="false">AVERAGE(C11:N11)</f>
        <v>0</v>
      </c>
      <c r="BO11" s="31" t="n">
        <f aca="false">AVERAGE(O11:Z11)</f>
        <v>0.25462962962963</v>
      </c>
      <c r="BP11" s="31" t="n">
        <f aca="false">AVERAGE(AA11:AL11)</f>
        <v>0.87037037037037</v>
      </c>
      <c r="BQ11" s="31" t="n">
        <f aca="false">AVERAGE(AM11:AX11)</f>
        <v>1</v>
      </c>
      <c r="BR11" s="31" t="n">
        <f aca="false">AVERAGE(AY11:BJ11)</f>
        <v>1</v>
      </c>
      <c r="BT11" s="31" t="n">
        <f aca="false">N11</f>
        <v>0</v>
      </c>
      <c r="BU11" s="31" t="n">
        <f aca="false">Z11</f>
        <v>0.555555555555556</v>
      </c>
      <c r="BV11" s="31" t="n">
        <f aca="false">AL11</f>
        <v>1</v>
      </c>
      <c r="BW11" s="31" t="n">
        <f aca="false">AX11</f>
        <v>1</v>
      </c>
      <c r="BX11" s="31" t="n">
        <f aca="false">BJ11</f>
        <v>1</v>
      </c>
    </row>
    <row r="12" customFormat="false" ht="15" hidden="false" customHeight="false" outlineLevel="0" collapsed="false">
      <c r="A12" s="7" t="s">
        <v>384</v>
      </c>
      <c r="C12" s="16" t="n">
        <f aca="false">MIN(1,MAX(0,(C$4-(Assumptions!$C$91+Assumptions!$C$8*0.5))/(Assumptions!$C$92*Assumptions!$C$9)))</f>
        <v>0</v>
      </c>
      <c r="D12" s="16" t="n">
        <f aca="false">MIN(1,MAX(0,(D$4-(Assumptions!$C$91+Assumptions!$C$8*0.5))/(Assumptions!$C$92*Assumptions!$C$9)))</f>
        <v>0</v>
      </c>
      <c r="E12" s="16" t="n">
        <f aca="false">MIN(1,MAX(0,(E$4-(Assumptions!$C$91+Assumptions!$C$8*0.5))/(Assumptions!$C$92*Assumptions!$C$9)))</f>
        <v>0</v>
      </c>
      <c r="F12" s="16" t="n">
        <f aca="false">MIN(1,MAX(0,(F$4-(Assumptions!$C$91+Assumptions!$C$8*0.5))/(Assumptions!$C$92*Assumptions!$C$9)))</f>
        <v>0</v>
      </c>
      <c r="G12" s="16" t="n">
        <f aca="false">MIN(1,MAX(0,(G$4-(Assumptions!$C$91+Assumptions!$C$8*0.5))/(Assumptions!$C$92*Assumptions!$C$9)))</f>
        <v>0.166666666666667</v>
      </c>
      <c r="H12" s="16" t="n">
        <f aca="false">MIN(1,MAX(0,(H$4-(Assumptions!$C$91+Assumptions!$C$8*0.5))/(Assumptions!$C$92*Assumptions!$C$9)))</f>
        <v>0.333333333333333</v>
      </c>
      <c r="I12" s="16" t="n">
        <f aca="false">MIN(1,MAX(0,(I$4-(Assumptions!$C$91+Assumptions!$C$8*0.5))/(Assumptions!$C$92*Assumptions!$C$9)))</f>
        <v>0.5</v>
      </c>
      <c r="J12" s="16" t="n">
        <f aca="false">MIN(1,MAX(0,(J$4-(Assumptions!$C$91+Assumptions!$C$8*0.5))/(Assumptions!$C$92*Assumptions!$C$9)))</f>
        <v>0.666666666666667</v>
      </c>
      <c r="K12" s="16" t="n">
        <f aca="false">MIN(1,MAX(0,(K$4-(Assumptions!$C$91+Assumptions!$C$8*0.5))/(Assumptions!$C$92*Assumptions!$C$9)))</f>
        <v>0.833333333333333</v>
      </c>
      <c r="L12" s="16" t="n">
        <f aca="false">MIN(1,MAX(0,(L$4-(Assumptions!$C$91+Assumptions!$C$8*0.5))/(Assumptions!$C$92*Assumptions!$C$9)))</f>
        <v>1</v>
      </c>
      <c r="M12" s="16" t="n">
        <f aca="false">MIN(1,MAX(0,(M$4-(Assumptions!$C$91+Assumptions!$C$8*0.5))/(Assumptions!$C$92*Assumptions!$C$9)))</f>
        <v>1</v>
      </c>
      <c r="N12" s="16" t="n">
        <f aca="false">MIN(1,MAX(0,(N$4-(Assumptions!$C$91+Assumptions!$C$8*0.5))/(Assumptions!$C$92*Assumptions!$C$9)))</f>
        <v>1</v>
      </c>
      <c r="O12" s="16" t="n">
        <f aca="false">MIN(1,MAX(0,(O$4-(Assumptions!$C$91+Assumptions!$C$8*0.5))/(Assumptions!$C$92*Assumptions!$C$9)))</f>
        <v>1</v>
      </c>
      <c r="P12" s="16" t="n">
        <f aca="false">MIN(1,MAX(0,(P$4-(Assumptions!$C$91+Assumptions!$C$8*0.5))/(Assumptions!$C$92*Assumptions!$C$9)))</f>
        <v>1</v>
      </c>
      <c r="Q12" s="16" t="n">
        <f aca="false">MIN(1,MAX(0,(Q$4-(Assumptions!$C$91+Assumptions!$C$8*0.5))/(Assumptions!$C$92*Assumptions!$C$9)))</f>
        <v>1</v>
      </c>
      <c r="R12" s="16" t="n">
        <f aca="false">MIN(1,MAX(0,(R$4-(Assumptions!$C$91+Assumptions!$C$8*0.5))/(Assumptions!$C$92*Assumptions!$C$9)))</f>
        <v>1</v>
      </c>
      <c r="S12" s="16" t="n">
        <f aca="false">MIN(1,MAX(0,(S$4-(Assumptions!$C$91+Assumptions!$C$8*0.5))/(Assumptions!$C$92*Assumptions!$C$9)))</f>
        <v>1</v>
      </c>
      <c r="T12" s="16" t="n">
        <f aca="false">MIN(1,MAX(0,(T$4-(Assumptions!$C$91+Assumptions!$C$8*0.5))/(Assumptions!$C$92*Assumptions!$C$9)))</f>
        <v>1</v>
      </c>
      <c r="U12" s="16" t="n">
        <f aca="false">MIN(1,MAX(0,(U$4-(Assumptions!$C$91+Assumptions!$C$8*0.5))/(Assumptions!$C$92*Assumptions!$C$9)))</f>
        <v>1</v>
      </c>
      <c r="V12" s="16" t="n">
        <f aca="false">MIN(1,MAX(0,(V$4-(Assumptions!$C$91+Assumptions!$C$8*0.5))/(Assumptions!$C$92*Assumptions!$C$9)))</f>
        <v>1</v>
      </c>
      <c r="W12" s="16" t="n">
        <f aca="false">MIN(1,MAX(0,(W$4-(Assumptions!$C$91+Assumptions!$C$8*0.5))/(Assumptions!$C$92*Assumptions!$C$9)))</f>
        <v>1</v>
      </c>
      <c r="X12" s="16" t="n">
        <f aca="false">MIN(1,MAX(0,(X$4-(Assumptions!$C$91+Assumptions!$C$8*0.5))/(Assumptions!$C$92*Assumptions!$C$9)))</f>
        <v>1</v>
      </c>
      <c r="Y12" s="16" t="n">
        <f aca="false">MIN(1,MAX(0,(Y$4-(Assumptions!$C$91+Assumptions!$C$8*0.5))/(Assumptions!$C$92*Assumptions!$C$9)))</f>
        <v>1</v>
      </c>
      <c r="Z12" s="16" t="n">
        <f aca="false">MIN(1,MAX(0,(Z$4-(Assumptions!$C$91+Assumptions!$C$8*0.5))/(Assumptions!$C$92*Assumptions!$C$9)))</f>
        <v>1</v>
      </c>
      <c r="AA12" s="16" t="n">
        <f aca="false">MIN(1,MAX(0,(AA$4-(Assumptions!$C$91+Assumptions!$C$8*0.5))/(Assumptions!$C$92*Assumptions!$C$9)))</f>
        <v>1</v>
      </c>
      <c r="AB12" s="16" t="n">
        <f aca="false">MIN(1,MAX(0,(AB$4-(Assumptions!$C$91+Assumptions!$C$8*0.5))/(Assumptions!$C$92*Assumptions!$C$9)))</f>
        <v>1</v>
      </c>
      <c r="AC12" s="16" t="n">
        <f aca="false">MIN(1,MAX(0,(AC$4-(Assumptions!$C$91+Assumptions!$C$8*0.5))/(Assumptions!$C$92*Assumptions!$C$9)))</f>
        <v>1</v>
      </c>
      <c r="AD12" s="16" t="n">
        <f aca="false">MIN(1,MAX(0,(AD$4-(Assumptions!$C$91+Assumptions!$C$8*0.5))/(Assumptions!$C$92*Assumptions!$C$9)))</f>
        <v>1</v>
      </c>
      <c r="AE12" s="16" t="n">
        <f aca="false">MIN(1,MAX(0,(AE$4-(Assumptions!$C$91+Assumptions!$C$8*0.5))/(Assumptions!$C$92*Assumptions!$C$9)))</f>
        <v>1</v>
      </c>
      <c r="AF12" s="16" t="n">
        <f aca="false">MIN(1,MAX(0,(AF$4-(Assumptions!$C$91+Assumptions!$C$8*0.5))/(Assumptions!$C$92*Assumptions!$C$9)))</f>
        <v>1</v>
      </c>
      <c r="AG12" s="16" t="n">
        <f aca="false">MIN(1,MAX(0,(AG$4-(Assumptions!$C$91+Assumptions!$C$8*0.5))/(Assumptions!$C$92*Assumptions!$C$9)))</f>
        <v>1</v>
      </c>
      <c r="AH12" s="16" t="n">
        <f aca="false">MIN(1,MAX(0,(AH$4-(Assumptions!$C$91+Assumptions!$C$8*0.5))/(Assumptions!$C$92*Assumptions!$C$9)))</f>
        <v>1</v>
      </c>
      <c r="AI12" s="16" t="n">
        <f aca="false">MIN(1,MAX(0,(AI$4-(Assumptions!$C$91+Assumptions!$C$8*0.5))/(Assumptions!$C$92*Assumptions!$C$9)))</f>
        <v>1</v>
      </c>
      <c r="AJ12" s="16" t="n">
        <f aca="false">MIN(1,MAX(0,(AJ$4-(Assumptions!$C$91+Assumptions!$C$8*0.5))/(Assumptions!$C$92*Assumptions!$C$9)))</f>
        <v>1</v>
      </c>
      <c r="AK12" s="16" t="n">
        <f aca="false">MIN(1,MAX(0,(AK$4-(Assumptions!$C$91+Assumptions!$C$8*0.5))/(Assumptions!$C$92*Assumptions!$C$9)))</f>
        <v>1</v>
      </c>
      <c r="AL12" s="16" t="n">
        <f aca="false">MIN(1,MAX(0,(AL$4-(Assumptions!$C$91+Assumptions!$C$8*0.5))/(Assumptions!$C$92*Assumptions!$C$9)))</f>
        <v>1</v>
      </c>
      <c r="AM12" s="16" t="n">
        <f aca="false">MIN(1,MAX(0,(AM$4-(Assumptions!$C$91+Assumptions!$C$8*0.5))/(Assumptions!$C$92*Assumptions!$C$9)))</f>
        <v>1</v>
      </c>
      <c r="AN12" s="16" t="n">
        <f aca="false">MIN(1,MAX(0,(AN$4-(Assumptions!$C$91+Assumptions!$C$8*0.5))/(Assumptions!$C$92*Assumptions!$C$9)))</f>
        <v>1</v>
      </c>
      <c r="AO12" s="16" t="n">
        <f aca="false">MIN(1,MAX(0,(AO$4-(Assumptions!$C$91+Assumptions!$C$8*0.5))/(Assumptions!$C$92*Assumptions!$C$9)))</f>
        <v>1</v>
      </c>
      <c r="AP12" s="16" t="n">
        <f aca="false">MIN(1,MAX(0,(AP$4-(Assumptions!$C$91+Assumptions!$C$8*0.5))/(Assumptions!$C$92*Assumptions!$C$9)))</f>
        <v>1</v>
      </c>
      <c r="AQ12" s="16" t="n">
        <f aca="false">MIN(1,MAX(0,(AQ$4-(Assumptions!$C$91+Assumptions!$C$8*0.5))/(Assumptions!$C$92*Assumptions!$C$9)))</f>
        <v>1</v>
      </c>
      <c r="AR12" s="16" t="n">
        <f aca="false">MIN(1,MAX(0,(AR$4-(Assumptions!$C$91+Assumptions!$C$8*0.5))/(Assumptions!$C$92*Assumptions!$C$9)))</f>
        <v>1</v>
      </c>
      <c r="AS12" s="16" t="n">
        <f aca="false">MIN(1,MAX(0,(AS$4-(Assumptions!$C$91+Assumptions!$C$8*0.5))/(Assumptions!$C$92*Assumptions!$C$9)))</f>
        <v>1</v>
      </c>
      <c r="AT12" s="16" t="n">
        <f aca="false">MIN(1,MAX(0,(AT$4-(Assumptions!$C$91+Assumptions!$C$8*0.5))/(Assumptions!$C$92*Assumptions!$C$9)))</f>
        <v>1</v>
      </c>
      <c r="AU12" s="16" t="n">
        <f aca="false">MIN(1,MAX(0,(AU$4-(Assumptions!$C$91+Assumptions!$C$8*0.5))/(Assumptions!$C$92*Assumptions!$C$9)))</f>
        <v>1</v>
      </c>
      <c r="AV12" s="16" t="n">
        <f aca="false">MIN(1,MAX(0,(AV$4-(Assumptions!$C$91+Assumptions!$C$8*0.5))/(Assumptions!$C$92*Assumptions!$C$9)))</f>
        <v>1</v>
      </c>
      <c r="AW12" s="16" t="n">
        <f aca="false">MIN(1,MAX(0,(AW$4-(Assumptions!$C$91+Assumptions!$C$8*0.5))/(Assumptions!$C$92*Assumptions!$C$9)))</f>
        <v>1</v>
      </c>
      <c r="AX12" s="16" t="n">
        <f aca="false">MIN(1,MAX(0,(AX$4-(Assumptions!$C$91+Assumptions!$C$8*0.5))/(Assumptions!$C$92*Assumptions!$C$9)))</f>
        <v>1</v>
      </c>
      <c r="AY12" s="16" t="n">
        <f aca="false">MIN(1,MAX(0,(AY$4-(Assumptions!$C$91+Assumptions!$C$8*0.5))/(Assumptions!$C$92*Assumptions!$C$9)))</f>
        <v>1</v>
      </c>
      <c r="AZ12" s="16" t="n">
        <f aca="false">MIN(1,MAX(0,(AZ$4-(Assumptions!$C$91+Assumptions!$C$8*0.5))/(Assumptions!$C$92*Assumptions!$C$9)))</f>
        <v>1</v>
      </c>
      <c r="BA12" s="16" t="n">
        <f aca="false">MIN(1,MAX(0,(BA$4-(Assumptions!$C$91+Assumptions!$C$8*0.5))/(Assumptions!$C$92*Assumptions!$C$9)))</f>
        <v>1</v>
      </c>
      <c r="BB12" s="16" t="n">
        <f aca="false">MIN(1,MAX(0,(BB$4-(Assumptions!$C$91+Assumptions!$C$8*0.5))/(Assumptions!$C$92*Assumptions!$C$9)))</f>
        <v>1</v>
      </c>
      <c r="BC12" s="16" t="n">
        <f aca="false">MIN(1,MAX(0,(BC$4-(Assumptions!$C$91+Assumptions!$C$8*0.5))/(Assumptions!$C$92*Assumptions!$C$9)))</f>
        <v>1</v>
      </c>
      <c r="BD12" s="16" t="n">
        <f aca="false">MIN(1,MAX(0,(BD$4-(Assumptions!$C$91+Assumptions!$C$8*0.5))/(Assumptions!$C$92*Assumptions!$C$9)))</f>
        <v>1</v>
      </c>
      <c r="BE12" s="16" t="n">
        <f aca="false">MIN(1,MAX(0,(BE$4-(Assumptions!$C$91+Assumptions!$C$8*0.5))/(Assumptions!$C$92*Assumptions!$C$9)))</f>
        <v>1</v>
      </c>
      <c r="BF12" s="16" t="n">
        <f aca="false">MIN(1,MAX(0,(BF$4-(Assumptions!$C$91+Assumptions!$C$8*0.5))/(Assumptions!$C$92*Assumptions!$C$9)))</f>
        <v>1</v>
      </c>
      <c r="BG12" s="16" t="n">
        <f aca="false">MIN(1,MAX(0,(BG$4-(Assumptions!$C$91+Assumptions!$C$8*0.5))/(Assumptions!$C$92*Assumptions!$C$9)))</f>
        <v>1</v>
      </c>
      <c r="BH12" s="16" t="n">
        <f aca="false">MIN(1,MAX(0,(BH$4-(Assumptions!$C$91+Assumptions!$C$8*0.5))/(Assumptions!$C$92*Assumptions!$C$9)))</f>
        <v>1</v>
      </c>
      <c r="BI12" s="16" t="n">
        <f aca="false">MIN(1,MAX(0,(BI$4-(Assumptions!$C$91+Assumptions!$C$8*0.5))/(Assumptions!$C$92*Assumptions!$C$9)))</f>
        <v>1</v>
      </c>
      <c r="BJ12" s="16" t="n">
        <f aca="false">MIN(1,MAX(0,(BJ$4-(Assumptions!$C$91+Assumptions!$C$8*0.5))/(Assumptions!$C$92*Assumptions!$C$9)))</f>
        <v>1</v>
      </c>
      <c r="BN12" s="31" t="n">
        <f aca="false">AVERAGE(C12:N12)</f>
        <v>0.458333333333333</v>
      </c>
      <c r="BO12" s="31" t="n">
        <f aca="false">AVERAGE(O12:Z12)</f>
        <v>1</v>
      </c>
      <c r="BP12" s="31" t="n">
        <f aca="false">AVERAGE(AA12:AL12)</f>
        <v>1</v>
      </c>
      <c r="BQ12" s="31" t="n">
        <f aca="false">AVERAGE(AM12:AX12)</f>
        <v>1</v>
      </c>
      <c r="BR12" s="31" t="n">
        <f aca="false">AVERAGE(AY12:BJ12)</f>
        <v>1</v>
      </c>
      <c r="BT12" s="31" t="n">
        <f aca="false">N12</f>
        <v>1</v>
      </c>
      <c r="BU12" s="31" t="n">
        <f aca="false">Z12</f>
        <v>1</v>
      </c>
      <c r="BV12" s="31" t="n">
        <f aca="false">AL12</f>
        <v>1</v>
      </c>
      <c r="BW12" s="31" t="n">
        <f aca="false">AX12</f>
        <v>1</v>
      </c>
      <c r="BX12" s="31" t="n">
        <f aca="false">BJ12</f>
        <v>1</v>
      </c>
    </row>
    <row r="13" customFormat="false" ht="15" hidden="false" customHeight="false" outlineLevel="0" collapsed="false">
      <c r="A13" s="7" t="s">
        <v>385</v>
      </c>
      <c r="C13" s="16" t="n">
        <f aca="false">MIN(1,MAX(0,(C$4-(Assumptions!$C$93+Assumptions!$C$8*1))/(Assumptions!$C$94*Assumptions!$C$9)))</f>
        <v>0</v>
      </c>
      <c r="D13" s="16" t="n">
        <f aca="false">MIN(1,MAX(0,(D$4-(Assumptions!$C$93+Assumptions!$C$8*1))/(Assumptions!$C$94*Assumptions!$C$9)))</f>
        <v>0</v>
      </c>
      <c r="E13" s="16" t="n">
        <f aca="false">MIN(1,MAX(0,(E$4-(Assumptions!$C$93+Assumptions!$C$8*1))/(Assumptions!$C$94*Assumptions!$C$9)))</f>
        <v>0</v>
      </c>
      <c r="F13" s="16" t="n">
        <f aca="false">MIN(1,MAX(0,(F$4-(Assumptions!$C$93+Assumptions!$C$8*1))/(Assumptions!$C$94*Assumptions!$C$9)))</f>
        <v>0</v>
      </c>
      <c r="G13" s="16" t="n">
        <f aca="false">MIN(1,MAX(0,(G$4-(Assumptions!$C$93+Assumptions!$C$8*1))/(Assumptions!$C$94*Assumptions!$C$9)))</f>
        <v>0</v>
      </c>
      <c r="H13" s="16" t="n">
        <f aca="false">MIN(1,MAX(0,(H$4-(Assumptions!$C$93+Assumptions!$C$8*1))/(Assumptions!$C$94*Assumptions!$C$9)))</f>
        <v>0</v>
      </c>
      <c r="I13" s="16" t="n">
        <f aca="false">MIN(1,MAX(0,(I$4-(Assumptions!$C$93+Assumptions!$C$8*1))/(Assumptions!$C$94*Assumptions!$C$9)))</f>
        <v>0</v>
      </c>
      <c r="J13" s="16" t="n">
        <f aca="false">MIN(1,MAX(0,(J$4-(Assumptions!$C$93+Assumptions!$C$8*1))/(Assumptions!$C$94*Assumptions!$C$9)))</f>
        <v>0</v>
      </c>
      <c r="K13" s="16" t="n">
        <f aca="false">MIN(1,MAX(0,(K$4-(Assumptions!$C$93+Assumptions!$C$8*1))/(Assumptions!$C$94*Assumptions!$C$9)))</f>
        <v>0</v>
      </c>
      <c r="L13" s="16" t="n">
        <f aca="false">MIN(1,MAX(0,(L$4-(Assumptions!$C$93+Assumptions!$C$8*1))/(Assumptions!$C$94*Assumptions!$C$9)))</f>
        <v>0</v>
      </c>
      <c r="M13" s="16" t="n">
        <f aca="false">MIN(1,MAX(0,(M$4-(Assumptions!$C$93+Assumptions!$C$8*1))/(Assumptions!$C$94*Assumptions!$C$9)))</f>
        <v>0</v>
      </c>
      <c r="N13" s="16" t="n">
        <f aca="false">MIN(1,MAX(0,(N$4-(Assumptions!$C$93+Assumptions!$C$8*1))/(Assumptions!$C$94*Assumptions!$C$9)))</f>
        <v>0</v>
      </c>
      <c r="O13" s="16" t="n">
        <f aca="false">MIN(1,MAX(0,(O$4-(Assumptions!$C$93+Assumptions!$C$8*1))/(Assumptions!$C$94*Assumptions!$C$9)))</f>
        <v>0.111111111111111</v>
      </c>
      <c r="P13" s="16" t="n">
        <f aca="false">MIN(1,MAX(0,(P$4-(Assumptions!$C$93+Assumptions!$C$8*1))/(Assumptions!$C$94*Assumptions!$C$9)))</f>
        <v>0.222222222222222</v>
      </c>
      <c r="Q13" s="16" t="n">
        <f aca="false">MIN(1,MAX(0,(Q$4-(Assumptions!$C$93+Assumptions!$C$8*1))/(Assumptions!$C$94*Assumptions!$C$9)))</f>
        <v>0.333333333333333</v>
      </c>
      <c r="R13" s="16" t="n">
        <f aca="false">MIN(1,MAX(0,(R$4-(Assumptions!$C$93+Assumptions!$C$8*1))/(Assumptions!$C$94*Assumptions!$C$9)))</f>
        <v>0.444444444444444</v>
      </c>
      <c r="S13" s="16" t="n">
        <f aca="false">MIN(1,MAX(0,(S$4-(Assumptions!$C$93+Assumptions!$C$8*1))/(Assumptions!$C$94*Assumptions!$C$9)))</f>
        <v>0.555555555555556</v>
      </c>
      <c r="T13" s="16" t="n">
        <f aca="false">MIN(1,MAX(0,(T$4-(Assumptions!$C$93+Assumptions!$C$8*1))/(Assumptions!$C$94*Assumptions!$C$9)))</f>
        <v>0.666666666666667</v>
      </c>
      <c r="U13" s="16" t="n">
        <f aca="false">MIN(1,MAX(0,(U$4-(Assumptions!$C$93+Assumptions!$C$8*1))/(Assumptions!$C$94*Assumptions!$C$9)))</f>
        <v>0.777777777777778</v>
      </c>
      <c r="V13" s="16" t="n">
        <f aca="false">MIN(1,MAX(0,(V$4-(Assumptions!$C$93+Assumptions!$C$8*1))/(Assumptions!$C$94*Assumptions!$C$9)))</f>
        <v>0.888888888888889</v>
      </c>
      <c r="W13" s="16" t="n">
        <f aca="false">MIN(1,MAX(0,(W$4-(Assumptions!$C$93+Assumptions!$C$8*1))/(Assumptions!$C$94*Assumptions!$C$9)))</f>
        <v>1</v>
      </c>
      <c r="X13" s="16" t="n">
        <f aca="false">MIN(1,MAX(0,(X$4-(Assumptions!$C$93+Assumptions!$C$8*1))/(Assumptions!$C$94*Assumptions!$C$9)))</f>
        <v>1</v>
      </c>
      <c r="Y13" s="16" t="n">
        <f aca="false">MIN(1,MAX(0,(Y$4-(Assumptions!$C$93+Assumptions!$C$8*1))/(Assumptions!$C$94*Assumptions!$C$9)))</f>
        <v>1</v>
      </c>
      <c r="Z13" s="16" t="n">
        <f aca="false">MIN(1,MAX(0,(Z$4-(Assumptions!$C$93+Assumptions!$C$8*1))/(Assumptions!$C$94*Assumptions!$C$9)))</f>
        <v>1</v>
      </c>
      <c r="AA13" s="16" t="n">
        <f aca="false">MIN(1,MAX(0,(AA$4-(Assumptions!$C$93+Assumptions!$C$8*1))/(Assumptions!$C$94*Assumptions!$C$9)))</f>
        <v>1</v>
      </c>
      <c r="AB13" s="16" t="n">
        <f aca="false">MIN(1,MAX(0,(AB$4-(Assumptions!$C$93+Assumptions!$C$8*1))/(Assumptions!$C$94*Assumptions!$C$9)))</f>
        <v>1</v>
      </c>
      <c r="AC13" s="16" t="n">
        <f aca="false">MIN(1,MAX(0,(AC$4-(Assumptions!$C$93+Assumptions!$C$8*1))/(Assumptions!$C$94*Assumptions!$C$9)))</f>
        <v>1</v>
      </c>
      <c r="AD13" s="16" t="n">
        <f aca="false">MIN(1,MAX(0,(AD$4-(Assumptions!$C$93+Assumptions!$C$8*1))/(Assumptions!$C$94*Assumptions!$C$9)))</f>
        <v>1</v>
      </c>
      <c r="AE13" s="16" t="n">
        <f aca="false">MIN(1,MAX(0,(AE$4-(Assumptions!$C$93+Assumptions!$C$8*1))/(Assumptions!$C$94*Assumptions!$C$9)))</f>
        <v>1</v>
      </c>
      <c r="AF13" s="16" t="n">
        <f aca="false">MIN(1,MAX(0,(AF$4-(Assumptions!$C$93+Assumptions!$C$8*1))/(Assumptions!$C$94*Assumptions!$C$9)))</f>
        <v>1</v>
      </c>
      <c r="AG13" s="16" t="n">
        <f aca="false">MIN(1,MAX(0,(AG$4-(Assumptions!$C$93+Assumptions!$C$8*1))/(Assumptions!$C$94*Assumptions!$C$9)))</f>
        <v>1</v>
      </c>
      <c r="AH13" s="16" t="n">
        <f aca="false">MIN(1,MAX(0,(AH$4-(Assumptions!$C$93+Assumptions!$C$8*1))/(Assumptions!$C$94*Assumptions!$C$9)))</f>
        <v>1</v>
      </c>
      <c r="AI13" s="16" t="n">
        <f aca="false">MIN(1,MAX(0,(AI$4-(Assumptions!$C$93+Assumptions!$C$8*1))/(Assumptions!$C$94*Assumptions!$C$9)))</f>
        <v>1</v>
      </c>
      <c r="AJ13" s="16" t="n">
        <f aca="false">MIN(1,MAX(0,(AJ$4-(Assumptions!$C$93+Assumptions!$C$8*1))/(Assumptions!$C$94*Assumptions!$C$9)))</f>
        <v>1</v>
      </c>
      <c r="AK13" s="16" t="n">
        <f aca="false">MIN(1,MAX(0,(AK$4-(Assumptions!$C$93+Assumptions!$C$8*1))/(Assumptions!$C$94*Assumptions!$C$9)))</f>
        <v>1</v>
      </c>
      <c r="AL13" s="16" t="n">
        <f aca="false">MIN(1,MAX(0,(AL$4-(Assumptions!$C$93+Assumptions!$C$8*1))/(Assumptions!$C$94*Assumptions!$C$9)))</f>
        <v>1</v>
      </c>
      <c r="AM13" s="16" t="n">
        <f aca="false">MIN(1,MAX(0,(AM$4-(Assumptions!$C$93+Assumptions!$C$8*1))/(Assumptions!$C$94*Assumptions!$C$9)))</f>
        <v>1</v>
      </c>
      <c r="AN13" s="16" t="n">
        <f aca="false">MIN(1,MAX(0,(AN$4-(Assumptions!$C$93+Assumptions!$C$8*1))/(Assumptions!$C$94*Assumptions!$C$9)))</f>
        <v>1</v>
      </c>
      <c r="AO13" s="16" t="n">
        <f aca="false">MIN(1,MAX(0,(AO$4-(Assumptions!$C$93+Assumptions!$C$8*1))/(Assumptions!$C$94*Assumptions!$C$9)))</f>
        <v>1</v>
      </c>
      <c r="AP13" s="16" t="n">
        <f aca="false">MIN(1,MAX(0,(AP$4-(Assumptions!$C$93+Assumptions!$C$8*1))/(Assumptions!$C$94*Assumptions!$C$9)))</f>
        <v>1</v>
      </c>
      <c r="AQ13" s="16" t="n">
        <f aca="false">MIN(1,MAX(0,(AQ$4-(Assumptions!$C$93+Assumptions!$C$8*1))/(Assumptions!$C$94*Assumptions!$C$9)))</f>
        <v>1</v>
      </c>
      <c r="AR13" s="16" t="n">
        <f aca="false">MIN(1,MAX(0,(AR$4-(Assumptions!$C$93+Assumptions!$C$8*1))/(Assumptions!$C$94*Assumptions!$C$9)))</f>
        <v>1</v>
      </c>
      <c r="AS13" s="16" t="n">
        <f aca="false">MIN(1,MAX(0,(AS$4-(Assumptions!$C$93+Assumptions!$C$8*1))/(Assumptions!$C$94*Assumptions!$C$9)))</f>
        <v>1</v>
      </c>
      <c r="AT13" s="16" t="n">
        <f aca="false">MIN(1,MAX(0,(AT$4-(Assumptions!$C$93+Assumptions!$C$8*1))/(Assumptions!$C$94*Assumptions!$C$9)))</f>
        <v>1</v>
      </c>
      <c r="AU13" s="16" t="n">
        <f aca="false">MIN(1,MAX(0,(AU$4-(Assumptions!$C$93+Assumptions!$C$8*1))/(Assumptions!$C$94*Assumptions!$C$9)))</f>
        <v>1</v>
      </c>
      <c r="AV13" s="16" t="n">
        <f aca="false">MIN(1,MAX(0,(AV$4-(Assumptions!$C$93+Assumptions!$C$8*1))/(Assumptions!$C$94*Assumptions!$C$9)))</f>
        <v>1</v>
      </c>
      <c r="AW13" s="16" t="n">
        <f aca="false">MIN(1,MAX(0,(AW$4-(Assumptions!$C$93+Assumptions!$C$8*1))/(Assumptions!$C$94*Assumptions!$C$9)))</f>
        <v>1</v>
      </c>
      <c r="AX13" s="16" t="n">
        <f aca="false">MIN(1,MAX(0,(AX$4-(Assumptions!$C$93+Assumptions!$C$8*1))/(Assumptions!$C$94*Assumptions!$C$9)))</f>
        <v>1</v>
      </c>
      <c r="AY13" s="16" t="n">
        <f aca="false">MIN(1,MAX(0,(AY$4-(Assumptions!$C$93+Assumptions!$C$8*1))/(Assumptions!$C$94*Assumptions!$C$9)))</f>
        <v>1</v>
      </c>
      <c r="AZ13" s="16" t="n">
        <f aca="false">MIN(1,MAX(0,(AZ$4-(Assumptions!$C$93+Assumptions!$C$8*1))/(Assumptions!$C$94*Assumptions!$C$9)))</f>
        <v>1</v>
      </c>
      <c r="BA13" s="16" t="n">
        <f aca="false">MIN(1,MAX(0,(BA$4-(Assumptions!$C$93+Assumptions!$C$8*1))/(Assumptions!$C$94*Assumptions!$C$9)))</f>
        <v>1</v>
      </c>
      <c r="BB13" s="16" t="n">
        <f aca="false">MIN(1,MAX(0,(BB$4-(Assumptions!$C$93+Assumptions!$C$8*1))/(Assumptions!$C$94*Assumptions!$C$9)))</f>
        <v>1</v>
      </c>
      <c r="BC13" s="16" t="n">
        <f aca="false">MIN(1,MAX(0,(BC$4-(Assumptions!$C$93+Assumptions!$C$8*1))/(Assumptions!$C$94*Assumptions!$C$9)))</f>
        <v>1</v>
      </c>
      <c r="BD13" s="16" t="n">
        <f aca="false">MIN(1,MAX(0,(BD$4-(Assumptions!$C$93+Assumptions!$C$8*1))/(Assumptions!$C$94*Assumptions!$C$9)))</f>
        <v>1</v>
      </c>
      <c r="BE13" s="16" t="n">
        <f aca="false">MIN(1,MAX(0,(BE$4-(Assumptions!$C$93+Assumptions!$C$8*1))/(Assumptions!$C$94*Assumptions!$C$9)))</f>
        <v>1</v>
      </c>
      <c r="BF13" s="16" t="n">
        <f aca="false">MIN(1,MAX(0,(BF$4-(Assumptions!$C$93+Assumptions!$C$8*1))/(Assumptions!$C$94*Assumptions!$C$9)))</f>
        <v>1</v>
      </c>
      <c r="BG13" s="16" t="n">
        <f aca="false">MIN(1,MAX(0,(BG$4-(Assumptions!$C$93+Assumptions!$C$8*1))/(Assumptions!$C$94*Assumptions!$C$9)))</f>
        <v>1</v>
      </c>
      <c r="BH13" s="16" t="n">
        <f aca="false">MIN(1,MAX(0,(BH$4-(Assumptions!$C$93+Assumptions!$C$8*1))/(Assumptions!$C$94*Assumptions!$C$9)))</f>
        <v>1</v>
      </c>
      <c r="BI13" s="16" t="n">
        <f aca="false">MIN(1,MAX(0,(BI$4-(Assumptions!$C$93+Assumptions!$C$8*1))/(Assumptions!$C$94*Assumptions!$C$9)))</f>
        <v>1</v>
      </c>
      <c r="BJ13" s="16" t="n">
        <f aca="false">MIN(1,MAX(0,(BJ$4-(Assumptions!$C$93+Assumptions!$C$8*1))/(Assumptions!$C$94*Assumptions!$C$9)))</f>
        <v>1</v>
      </c>
      <c r="BN13" s="31" t="n">
        <f aca="false">AVERAGE(C13:N13)</f>
        <v>0</v>
      </c>
      <c r="BO13" s="31" t="n">
        <f aca="false">AVERAGE(O13:Z13)</f>
        <v>0.666666666666667</v>
      </c>
      <c r="BP13" s="31" t="n">
        <f aca="false">AVERAGE(AA13:AL13)</f>
        <v>1</v>
      </c>
      <c r="BQ13" s="31" t="n">
        <f aca="false">AVERAGE(AM13:AX13)</f>
        <v>1</v>
      </c>
      <c r="BR13" s="31" t="n">
        <f aca="false">AVERAGE(AY13:BJ13)</f>
        <v>1</v>
      </c>
      <c r="BT13" s="31" t="n">
        <f aca="false">N13</f>
        <v>0</v>
      </c>
      <c r="BU13" s="31" t="n">
        <f aca="false">Z13</f>
        <v>1</v>
      </c>
      <c r="BV13" s="31" t="n">
        <f aca="false">AL13</f>
        <v>1</v>
      </c>
      <c r="BW13" s="31" t="n">
        <f aca="false">AX13</f>
        <v>1</v>
      </c>
      <c r="BX13" s="31" t="n">
        <f aca="false">BJ13</f>
        <v>1</v>
      </c>
    </row>
    <row r="14" customFormat="false" ht="15" hidden="false" customHeight="false" outlineLevel="0" collapsed="false">
      <c r="A14" s="7" t="s">
        <v>386</v>
      </c>
      <c r="C14" s="16" t="n">
        <f aca="false">MIN(1,MAX(0,(C$4-(Assumptions!$C$91+Assumptions!$C$8*0.5))/(12*Assumptions!$C$9)))</f>
        <v>0</v>
      </c>
      <c r="D14" s="16" t="n">
        <f aca="false">MIN(1,MAX(0,(D$4-(Assumptions!$C$91+Assumptions!$C$8*0.5))/(12*Assumptions!$C$9)))</f>
        <v>0</v>
      </c>
      <c r="E14" s="16" t="n">
        <f aca="false">MIN(1,MAX(0,(E$4-(Assumptions!$C$91+Assumptions!$C$8*0.5))/(12*Assumptions!$C$9)))</f>
        <v>0</v>
      </c>
      <c r="F14" s="16" t="n">
        <f aca="false">MIN(1,MAX(0,(F$4-(Assumptions!$C$91+Assumptions!$C$8*0.5))/(12*Assumptions!$C$9)))</f>
        <v>0</v>
      </c>
      <c r="G14" s="16" t="n">
        <f aca="false">MIN(1,MAX(0,(G$4-(Assumptions!$C$91+Assumptions!$C$8*0.5))/(12*Assumptions!$C$9)))</f>
        <v>0.0833333333333333</v>
      </c>
      <c r="H14" s="16" t="n">
        <f aca="false">MIN(1,MAX(0,(H$4-(Assumptions!$C$91+Assumptions!$C$8*0.5))/(12*Assumptions!$C$9)))</f>
        <v>0.166666666666667</v>
      </c>
      <c r="I14" s="16" t="n">
        <f aca="false">MIN(1,MAX(0,(I$4-(Assumptions!$C$91+Assumptions!$C$8*0.5))/(12*Assumptions!$C$9)))</f>
        <v>0.25</v>
      </c>
      <c r="J14" s="16" t="n">
        <f aca="false">MIN(1,MAX(0,(J$4-(Assumptions!$C$91+Assumptions!$C$8*0.5))/(12*Assumptions!$C$9)))</f>
        <v>0.333333333333333</v>
      </c>
      <c r="K14" s="16" t="n">
        <f aca="false">MIN(1,MAX(0,(K$4-(Assumptions!$C$91+Assumptions!$C$8*0.5))/(12*Assumptions!$C$9)))</f>
        <v>0.416666666666667</v>
      </c>
      <c r="L14" s="16" t="n">
        <f aca="false">MIN(1,MAX(0,(L$4-(Assumptions!$C$91+Assumptions!$C$8*0.5))/(12*Assumptions!$C$9)))</f>
        <v>0.5</v>
      </c>
      <c r="M14" s="16" t="n">
        <f aca="false">MIN(1,MAX(0,(M$4-(Assumptions!$C$91+Assumptions!$C$8*0.5))/(12*Assumptions!$C$9)))</f>
        <v>0.583333333333333</v>
      </c>
      <c r="N14" s="16" t="n">
        <f aca="false">MIN(1,MAX(0,(N$4-(Assumptions!$C$91+Assumptions!$C$8*0.5))/(12*Assumptions!$C$9)))</f>
        <v>0.666666666666667</v>
      </c>
      <c r="O14" s="16" t="n">
        <f aca="false">MIN(1,MAX(0,(O$4-(Assumptions!$C$91+Assumptions!$C$8*0.5))/(12*Assumptions!$C$9)))</f>
        <v>0.75</v>
      </c>
      <c r="P14" s="16" t="n">
        <f aca="false">MIN(1,MAX(0,(P$4-(Assumptions!$C$91+Assumptions!$C$8*0.5))/(12*Assumptions!$C$9)))</f>
        <v>0.833333333333333</v>
      </c>
      <c r="Q14" s="16" t="n">
        <f aca="false">MIN(1,MAX(0,(Q$4-(Assumptions!$C$91+Assumptions!$C$8*0.5))/(12*Assumptions!$C$9)))</f>
        <v>0.916666666666667</v>
      </c>
      <c r="R14" s="16" t="n">
        <f aca="false">MIN(1,MAX(0,(R$4-(Assumptions!$C$91+Assumptions!$C$8*0.5))/(12*Assumptions!$C$9)))</f>
        <v>1</v>
      </c>
      <c r="S14" s="16" t="n">
        <f aca="false">MIN(1,MAX(0,(S$4-(Assumptions!$C$91+Assumptions!$C$8*0.5))/(12*Assumptions!$C$9)))</f>
        <v>1</v>
      </c>
      <c r="T14" s="16" t="n">
        <f aca="false">MIN(1,MAX(0,(T$4-(Assumptions!$C$91+Assumptions!$C$8*0.5))/(12*Assumptions!$C$9)))</f>
        <v>1</v>
      </c>
      <c r="U14" s="16" t="n">
        <f aca="false">MIN(1,MAX(0,(U$4-(Assumptions!$C$91+Assumptions!$C$8*0.5))/(12*Assumptions!$C$9)))</f>
        <v>1</v>
      </c>
      <c r="V14" s="16" t="n">
        <f aca="false">MIN(1,MAX(0,(V$4-(Assumptions!$C$91+Assumptions!$C$8*0.5))/(12*Assumptions!$C$9)))</f>
        <v>1</v>
      </c>
      <c r="W14" s="16" t="n">
        <f aca="false">MIN(1,MAX(0,(W$4-(Assumptions!$C$91+Assumptions!$C$8*0.5))/(12*Assumptions!$C$9)))</f>
        <v>1</v>
      </c>
      <c r="X14" s="16" t="n">
        <f aca="false">MIN(1,MAX(0,(X$4-(Assumptions!$C$91+Assumptions!$C$8*0.5))/(12*Assumptions!$C$9)))</f>
        <v>1</v>
      </c>
      <c r="Y14" s="16" t="n">
        <f aca="false">MIN(1,MAX(0,(Y$4-(Assumptions!$C$91+Assumptions!$C$8*0.5))/(12*Assumptions!$C$9)))</f>
        <v>1</v>
      </c>
      <c r="Z14" s="16" t="n">
        <f aca="false">MIN(1,MAX(0,(Z$4-(Assumptions!$C$91+Assumptions!$C$8*0.5))/(12*Assumptions!$C$9)))</f>
        <v>1</v>
      </c>
      <c r="AA14" s="16" t="n">
        <f aca="false">MIN(1,MAX(0,(AA$4-(Assumptions!$C$91+Assumptions!$C$8*0.5))/(12*Assumptions!$C$9)))</f>
        <v>1</v>
      </c>
      <c r="AB14" s="16" t="n">
        <f aca="false">MIN(1,MAX(0,(AB$4-(Assumptions!$C$91+Assumptions!$C$8*0.5))/(12*Assumptions!$C$9)))</f>
        <v>1</v>
      </c>
      <c r="AC14" s="16" t="n">
        <f aca="false">MIN(1,MAX(0,(AC$4-(Assumptions!$C$91+Assumptions!$C$8*0.5))/(12*Assumptions!$C$9)))</f>
        <v>1</v>
      </c>
      <c r="AD14" s="16" t="n">
        <f aca="false">MIN(1,MAX(0,(AD$4-(Assumptions!$C$91+Assumptions!$C$8*0.5))/(12*Assumptions!$C$9)))</f>
        <v>1</v>
      </c>
      <c r="AE14" s="16" t="n">
        <f aca="false">MIN(1,MAX(0,(AE$4-(Assumptions!$C$91+Assumptions!$C$8*0.5))/(12*Assumptions!$C$9)))</f>
        <v>1</v>
      </c>
      <c r="AF14" s="16" t="n">
        <f aca="false">MIN(1,MAX(0,(AF$4-(Assumptions!$C$91+Assumptions!$C$8*0.5))/(12*Assumptions!$C$9)))</f>
        <v>1</v>
      </c>
      <c r="AG14" s="16" t="n">
        <f aca="false">MIN(1,MAX(0,(AG$4-(Assumptions!$C$91+Assumptions!$C$8*0.5))/(12*Assumptions!$C$9)))</f>
        <v>1</v>
      </c>
      <c r="AH14" s="16" t="n">
        <f aca="false">MIN(1,MAX(0,(AH$4-(Assumptions!$C$91+Assumptions!$C$8*0.5))/(12*Assumptions!$C$9)))</f>
        <v>1</v>
      </c>
      <c r="AI14" s="16" t="n">
        <f aca="false">MIN(1,MAX(0,(AI$4-(Assumptions!$C$91+Assumptions!$C$8*0.5))/(12*Assumptions!$C$9)))</f>
        <v>1</v>
      </c>
      <c r="AJ14" s="16" t="n">
        <f aca="false">MIN(1,MAX(0,(AJ$4-(Assumptions!$C$91+Assumptions!$C$8*0.5))/(12*Assumptions!$C$9)))</f>
        <v>1</v>
      </c>
      <c r="AK14" s="16" t="n">
        <f aca="false">MIN(1,MAX(0,(AK$4-(Assumptions!$C$91+Assumptions!$C$8*0.5))/(12*Assumptions!$C$9)))</f>
        <v>1</v>
      </c>
      <c r="AL14" s="16" t="n">
        <f aca="false">MIN(1,MAX(0,(AL$4-(Assumptions!$C$91+Assumptions!$C$8*0.5))/(12*Assumptions!$C$9)))</f>
        <v>1</v>
      </c>
      <c r="AM14" s="16" t="n">
        <f aca="false">MIN(1,MAX(0,(AM$4-(Assumptions!$C$91+Assumptions!$C$8*0.5))/(12*Assumptions!$C$9)))</f>
        <v>1</v>
      </c>
      <c r="AN14" s="16" t="n">
        <f aca="false">MIN(1,MAX(0,(AN$4-(Assumptions!$C$91+Assumptions!$C$8*0.5))/(12*Assumptions!$C$9)))</f>
        <v>1</v>
      </c>
      <c r="AO14" s="16" t="n">
        <f aca="false">MIN(1,MAX(0,(AO$4-(Assumptions!$C$91+Assumptions!$C$8*0.5))/(12*Assumptions!$C$9)))</f>
        <v>1</v>
      </c>
      <c r="AP14" s="16" t="n">
        <f aca="false">MIN(1,MAX(0,(AP$4-(Assumptions!$C$91+Assumptions!$C$8*0.5))/(12*Assumptions!$C$9)))</f>
        <v>1</v>
      </c>
      <c r="AQ14" s="16" t="n">
        <f aca="false">MIN(1,MAX(0,(AQ$4-(Assumptions!$C$91+Assumptions!$C$8*0.5))/(12*Assumptions!$C$9)))</f>
        <v>1</v>
      </c>
      <c r="AR14" s="16" t="n">
        <f aca="false">MIN(1,MAX(0,(AR$4-(Assumptions!$C$91+Assumptions!$C$8*0.5))/(12*Assumptions!$C$9)))</f>
        <v>1</v>
      </c>
      <c r="AS14" s="16" t="n">
        <f aca="false">MIN(1,MAX(0,(AS$4-(Assumptions!$C$91+Assumptions!$C$8*0.5))/(12*Assumptions!$C$9)))</f>
        <v>1</v>
      </c>
      <c r="AT14" s="16" t="n">
        <f aca="false">MIN(1,MAX(0,(AT$4-(Assumptions!$C$91+Assumptions!$C$8*0.5))/(12*Assumptions!$C$9)))</f>
        <v>1</v>
      </c>
      <c r="AU14" s="16" t="n">
        <f aca="false">MIN(1,MAX(0,(AU$4-(Assumptions!$C$91+Assumptions!$C$8*0.5))/(12*Assumptions!$C$9)))</f>
        <v>1</v>
      </c>
      <c r="AV14" s="16" t="n">
        <f aca="false">MIN(1,MAX(0,(AV$4-(Assumptions!$C$91+Assumptions!$C$8*0.5))/(12*Assumptions!$C$9)))</f>
        <v>1</v>
      </c>
      <c r="AW14" s="16" t="n">
        <f aca="false">MIN(1,MAX(0,(AW$4-(Assumptions!$C$91+Assumptions!$C$8*0.5))/(12*Assumptions!$C$9)))</f>
        <v>1</v>
      </c>
      <c r="AX14" s="16" t="n">
        <f aca="false">MIN(1,MAX(0,(AX$4-(Assumptions!$C$91+Assumptions!$C$8*0.5))/(12*Assumptions!$C$9)))</f>
        <v>1</v>
      </c>
      <c r="AY14" s="16" t="n">
        <f aca="false">MIN(1,MAX(0,(AY$4-(Assumptions!$C$91+Assumptions!$C$8*0.5))/(12*Assumptions!$C$9)))</f>
        <v>1</v>
      </c>
      <c r="AZ14" s="16" t="n">
        <f aca="false">MIN(1,MAX(0,(AZ$4-(Assumptions!$C$91+Assumptions!$C$8*0.5))/(12*Assumptions!$C$9)))</f>
        <v>1</v>
      </c>
      <c r="BA14" s="16" t="n">
        <f aca="false">MIN(1,MAX(0,(BA$4-(Assumptions!$C$91+Assumptions!$C$8*0.5))/(12*Assumptions!$C$9)))</f>
        <v>1</v>
      </c>
      <c r="BB14" s="16" t="n">
        <f aca="false">MIN(1,MAX(0,(BB$4-(Assumptions!$C$91+Assumptions!$C$8*0.5))/(12*Assumptions!$C$9)))</f>
        <v>1</v>
      </c>
      <c r="BC14" s="16" t="n">
        <f aca="false">MIN(1,MAX(0,(BC$4-(Assumptions!$C$91+Assumptions!$C$8*0.5))/(12*Assumptions!$C$9)))</f>
        <v>1</v>
      </c>
      <c r="BD14" s="16" t="n">
        <f aca="false">MIN(1,MAX(0,(BD$4-(Assumptions!$C$91+Assumptions!$C$8*0.5))/(12*Assumptions!$C$9)))</f>
        <v>1</v>
      </c>
      <c r="BE14" s="16" t="n">
        <f aca="false">MIN(1,MAX(0,(BE$4-(Assumptions!$C$91+Assumptions!$C$8*0.5))/(12*Assumptions!$C$9)))</f>
        <v>1</v>
      </c>
      <c r="BF14" s="16" t="n">
        <f aca="false">MIN(1,MAX(0,(BF$4-(Assumptions!$C$91+Assumptions!$C$8*0.5))/(12*Assumptions!$C$9)))</f>
        <v>1</v>
      </c>
      <c r="BG14" s="16" t="n">
        <f aca="false">MIN(1,MAX(0,(BG$4-(Assumptions!$C$91+Assumptions!$C$8*0.5))/(12*Assumptions!$C$9)))</f>
        <v>1</v>
      </c>
      <c r="BH14" s="16" t="n">
        <f aca="false">MIN(1,MAX(0,(BH$4-(Assumptions!$C$91+Assumptions!$C$8*0.5))/(12*Assumptions!$C$9)))</f>
        <v>1</v>
      </c>
      <c r="BI14" s="16" t="n">
        <f aca="false">MIN(1,MAX(0,(BI$4-(Assumptions!$C$91+Assumptions!$C$8*0.5))/(12*Assumptions!$C$9)))</f>
        <v>1</v>
      </c>
      <c r="BJ14" s="16" t="n">
        <f aca="false">MIN(1,MAX(0,(BJ$4-(Assumptions!$C$91+Assumptions!$C$8*0.5))/(12*Assumptions!$C$9)))</f>
        <v>1</v>
      </c>
      <c r="BN14" s="31" t="n">
        <f aca="false">AVERAGE(C14:N14)</f>
        <v>0.25</v>
      </c>
      <c r="BO14" s="31" t="n">
        <f aca="false">AVERAGE(O14:Z14)</f>
        <v>0.958333333333333</v>
      </c>
      <c r="BP14" s="31" t="n">
        <f aca="false">AVERAGE(AA14:AL14)</f>
        <v>1</v>
      </c>
      <c r="BQ14" s="31" t="n">
        <f aca="false">AVERAGE(AM14:AX14)</f>
        <v>1</v>
      </c>
      <c r="BR14" s="31" t="n">
        <f aca="false">AVERAGE(AY14:BJ14)</f>
        <v>1</v>
      </c>
      <c r="BT14" s="31" t="n">
        <f aca="false">N14</f>
        <v>0.666666666666667</v>
      </c>
      <c r="BU14" s="31" t="n">
        <f aca="false">Z14</f>
        <v>1</v>
      </c>
      <c r="BV14" s="31" t="n">
        <f aca="false">AL14</f>
        <v>1</v>
      </c>
      <c r="BW14" s="31" t="n">
        <f aca="false">AX14</f>
        <v>1</v>
      </c>
      <c r="BX14" s="31" t="n">
        <f aca="false">BJ14</f>
        <v>1</v>
      </c>
    </row>
    <row r="15" customFormat="false" ht="15" hidden="false" customHeight="false" outlineLevel="0" collapsed="false">
      <c r="A15" s="7" t="s">
        <v>387</v>
      </c>
      <c r="C15" s="16" t="n">
        <f aca="false">MIN(1,MAX(0,(C$4-(Assumptions!$C$93+Assumptions!$C$8*1))/(Assumptions!$D$77*Assumptions!$C$9)))</f>
        <v>0</v>
      </c>
      <c r="D15" s="16" t="n">
        <f aca="false">MIN(1,MAX(0,(D$4-(Assumptions!$C$93+Assumptions!$C$8*1))/(Assumptions!$D$77*Assumptions!$C$9)))</f>
        <v>0</v>
      </c>
      <c r="E15" s="16" t="n">
        <f aca="false">MIN(1,MAX(0,(E$4-(Assumptions!$C$93+Assumptions!$C$8*1))/(Assumptions!$D$77*Assumptions!$C$9)))</f>
        <v>0</v>
      </c>
      <c r="F15" s="16" t="n">
        <f aca="false">MIN(1,MAX(0,(F$4-(Assumptions!$C$93+Assumptions!$C$8*1))/(Assumptions!$D$77*Assumptions!$C$9)))</f>
        <v>0</v>
      </c>
      <c r="G15" s="16" t="n">
        <f aca="false">MIN(1,MAX(0,(G$4-(Assumptions!$C$93+Assumptions!$C$8*1))/(Assumptions!$D$77*Assumptions!$C$9)))</f>
        <v>0</v>
      </c>
      <c r="H15" s="16" t="n">
        <f aca="false">MIN(1,MAX(0,(H$4-(Assumptions!$C$93+Assumptions!$C$8*1))/(Assumptions!$D$77*Assumptions!$C$9)))</f>
        <v>0</v>
      </c>
      <c r="I15" s="16" t="n">
        <f aca="false">MIN(1,MAX(0,(I$4-(Assumptions!$C$93+Assumptions!$C$8*1))/(Assumptions!$D$77*Assumptions!$C$9)))</f>
        <v>0</v>
      </c>
      <c r="J15" s="16" t="n">
        <f aca="false">MIN(1,MAX(0,(J$4-(Assumptions!$C$93+Assumptions!$C$8*1))/(Assumptions!$D$77*Assumptions!$C$9)))</f>
        <v>0</v>
      </c>
      <c r="K15" s="16" t="n">
        <f aca="false">MIN(1,MAX(0,(K$4-(Assumptions!$C$93+Assumptions!$C$8*1))/(Assumptions!$D$77*Assumptions!$C$9)))</f>
        <v>0</v>
      </c>
      <c r="L15" s="16" t="n">
        <f aca="false">MIN(1,MAX(0,(L$4-(Assumptions!$C$93+Assumptions!$C$8*1))/(Assumptions!$D$77*Assumptions!$C$9)))</f>
        <v>0</v>
      </c>
      <c r="M15" s="16" t="n">
        <f aca="false">MIN(1,MAX(0,(M$4-(Assumptions!$C$93+Assumptions!$C$8*1))/(Assumptions!$D$77*Assumptions!$C$9)))</f>
        <v>0</v>
      </c>
      <c r="N15" s="16" t="n">
        <f aca="false">MIN(1,MAX(0,(N$4-(Assumptions!$C$93+Assumptions!$C$8*1))/(Assumptions!$D$77*Assumptions!$C$9)))</f>
        <v>0</v>
      </c>
      <c r="O15" s="16" t="n">
        <f aca="false">MIN(1,MAX(0,(O$4-(Assumptions!$C$93+Assumptions!$C$8*1))/(Assumptions!$D$77*Assumptions!$C$9)))</f>
        <v>0.0833333333333333</v>
      </c>
      <c r="P15" s="16" t="n">
        <f aca="false">MIN(1,MAX(0,(P$4-(Assumptions!$C$93+Assumptions!$C$8*1))/(Assumptions!$D$77*Assumptions!$C$9)))</f>
        <v>0.166666666666667</v>
      </c>
      <c r="Q15" s="16" t="n">
        <f aca="false">MIN(1,MAX(0,(Q$4-(Assumptions!$C$93+Assumptions!$C$8*1))/(Assumptions!$D$77*Assumptions!$C$9)))</f>
        <v>0.25</v>
      </c>
      <c r="R15" s="16" t="n">
        <f aca="false">MIN(1,MAX(0,(R$4-(Assumptions!$C$93+Assumptions!$C$8*1))/(Assumptions!$D$77*Assumptions!$C$9)))</f>
        <v>0.333333333333333</v>
      </c>
      <c r="S15" s="16" t="n">
        <f aca="false">MIN(1,MAX(0,(S$4-(Assumptions!$C$93+Assumptions!$C$8*1))/(Assumptions!$D$77*Assumptions!$C$9)))</f>
        <v>0.416666666666667</v>
      </c>
      <c r="T15" s="16" t="n">
        <f aca="false">MIN(1,MAX(0,(T$4-(Assumptions!$C$93+Assumptions!$C$8*1))/(Assumptions!$D$77*Assumptions!$C$9)))</f>
        <v>0.5</v>
      </c>
      <c r="U15" s="16" t="n">
        <f aca="false">MIN(1,MAX(0,(U$4-(Assumptions!$C$93+Assumptions!$C$8*1))/(Assumptions!$D$77*Assumptions!$C$9)))</f>
        <v>0.583333333333333</v>
      </c>
      <c r="V15" s="16" t="n">
        <f aca="false">MIN(1,MAX(0,(V$4-(Assumptions!$C$93+Assumptions!$C$8*1))/(Assumptions!$D$77*Assumptions!$C$9)))</f>
        <v>0.666666666666667</v>
      </c>
      <c r="W15" s="16" t="n">
        <f aca="false">MIN(1,MAX(0,(W$4-(Assumptions!$C$93+Assumptions!$C$8*1))/(Assumptions!$D$77*Assumptions!$C$9)))</f>
        <v>0.75</v>
      </c>
      <c r="X15" s="16" t="n">
        <f aca="false">MIN(1,MAX(0,(X$4-(Assumptions!$C$93+Assumptions!$C$8*1))/(Assumptions!$D$77*Assumptions!$C$9)))</f>
        <v>0.833333333333333</v>
      </c>
      <c r="Y15" s="16" t="n">
        <f aca="false">MIN(1,MAX(0,(Y$4-(Assumptions!$C$93+Assumptions!$C$8*1))/(Assumptions!$D$77*Assumptions!$C$9)))</f>
        <v>0.916666666666667</v>
      </c>
      <c r="Z15" s="16" t="n">
        <f aca="false">MIN(1,MAX(0,(Z$4-(Assumptions!$C$93+Assumptions!$C$8*1))/(Assumptions!$D$77*Assumptions!$C$9)))</f>
        <v>1</v>
      </c>
      <c r="AA15" s="16" t="n">
        <f aca="false">MIN(1,MAX(0,(AA$4-(Assumptions!$C$93+Assumptions!$C$8*1))/(Assumptions!$D$77*Assumptions!$C$9)))</f>
        <v>1</v>
      </c>
      <c r="AB15" s="16" t="n">
        <f aca="false">MIN(1,MAX(0,(AB$4-(Assumptions!$C$93+Assumptions!$C$8*1))/(Assumptions!$D$77*Assumptions!$C$9)))</f>
        <v>1</v>
      </c>
      <c r="AC15" s="16" t="n">
        <f aca="false">MIN(1,MAX(0,(AC$4-(Assumptions!$C$93+Assumptions!$C$8*1))/(Assumptions!$D$77*Assumptions!$C$9)))</f>
        <v>1</v>
      </c>
      <c r="AD15" s="16" t="n">
        <f aca="false">MIN(1,MAX(0,(AD$4-(Assumptions!$C$93+Assumptions!$C$8*1))/(Assumptions!$D$77*Assumptions!$C$9)))</f>
        <v>1</v>
      </c>
      <c r="AE15" s="16" t="n">
        <f aca="false">MIN(1,MAX(0,(AE$4-(Assumptions!$C$93+Assumptions!$C$8*1))/(Assumptions!$D$77*Assumptions!$C$9)))</f>
        <v>1</v>
      </c>
      <c r="AF15" s="16" t="n">
        <f aca="false">MIN(1,MAX(0,(AF$4-(Assumptions!$C$93+Assumptions!$C$8*1))/(Assumptions!$D$77*Assumptions!$C$9)))</f>
        <v>1</v>
      </c>
      <c r="AG15" s="16" t="n">
        <f aca="false">MIN(1,MAX(0,(AG$4-(Assumptions!$C$93+Assumptions!$C$8*1))/(Assumptions!$D$77*Assumptions!$C$9)))</f>
        <v>1</v>
      </c>
      <c r="AH15" s="16" t="n">
        <f aca="false">MIN(1,MAX(0,(AH$4-(Assumptions!$C$93+Assumptions!$C$8*1))/(Assumptions!$D$77*Assumptions!$C$9)))</f>
        <v>1</v>
      </c>
      <c r="AI15" s="16" t="n">
        <f aca="false">MIN(1,MAX(0,(AI$4-(Assumptions!$C$93+Assumptions!$C$8*1))/(Assumptions!$D$77*Assumptions!$C$9)))</f>
        <v>1</v>
      </c>
      <c r="AJ15" s="16" t="n">
        <f aca="false">MIN(1,MAX(0,(AJ$4-(Assumptions!$C$93+Assumptions!$C$8*1))/(Assumptions!$D$77*Assumptions!$C$9)))</f>
        <v>1</v>
      </c>
      <c r="AK15" s="16" t="n">
        <f aca="false">MIN(1,MAX(0,(AK$4-(Assumptions!$C$93+Assumptions!$C$8*1))/(Assumptions!$D$77*Assumptions!$C$9)))</f>
        <v>1</v>
      </c>
      <c r="AL15" s="16" t="n">
        <f aca="false">MIN(1,MAX(0,(AL$4-(Assumptions!$C$93+Assumptions!$C$8*1))/(Assumptions!$D$77*Assumptions!$C$9)))</f>
        <v>1</v>
      </c>
      <c r="AM15" s="16" t="n">
        <f aca="false">MIN(1,MAX(0,(AM$4-(Assumptions!$C$93+Assumptions!$C$8*1))/(Assumptions!$D$77*Assumptions!$C$9)))</f>
        <v>1</v>
      </c>
      <c r="AN15" s="16" t="n">
        <f aca="false">MIN(1,MAX(0,(AN$4-(Assumptions!$C$93+Assumptions!$C$8*1))/(Assumptions!$D$77*Assumptions!$C$9)))</f>
        <v>1</v>
      </c>
      <c r="AO15" s="16" t="n">
        <f aca="false">MIN(1,MAX(0,(AO$4-(Assumptions!$C$93+Assumptions!$C$8*1))/(Assumptions!$D$77*Assumptions!$C$9)))</f>
        <v>1</v>
      </c>
      <c r="AP15" s="16" t="n">
        <f aca="false">MIN(1,MAX(0,(AP$4-(Assumptions!$C$93+Assumptions!$C$8*1))/(Assumptions!$D$77*Assumptions!$C$9)))</f>
        <v>1</v>
      </c>
      <c r="AQ15" s="16" t="n">
        <f aca="false">MIN(1,MAX(0,(AQ$4-(Assumptions!$C$93+Assumptions!$C$8*1))/(Assumptions!$D$77*Assumptions!$C$9)))</f>
        <v>1</v>
      </c>
      <c r="AR15" s="16" t="n">
        <f aca="false">MIN(1,MAX(0,(AR$4-(Assumptions!$C$93+Assumptions!$C$8*1))/(Assumptions!$D$77*Assumptions!$C$9)))</f>
        <v>1</v>
      </c>
      <c r="AS15" s="16" t="n">
        <f aca="false">MIN(1,MAX(0,(AS$4-(Assumptions!$C$93+Assumptions!$C$8*1))/(Assumptions!$D$77*Assumptions!$C$9)))</f>
        <v>1</v>
      </c>
      <c r="AT15" s="16" t="n">
        <f aca="false">MIN(1,MAX(0,(AT$4-(Assumptions!$C$93+Assumptions!$C$8*1))/(Assumptions!$D$77*Assumptions!$C$9)))</f>
        <v>1</v>
      </c>
      <c r="AU15" s="16" t="n">
        <f aca="false">MIN(1,MAX(0,(AU$4-(Assumptions!$C$93+Assumptions!$C$8*1))/(Assumptions!$D$77*Assumptions!$C$9)))</f>
        <v>1</v>
      </c>
      <c r="AV15" s="16" t="n">
        <f aca="false">MIN(1,MAX(0,(AV$4-(Assumptions!$C$93+Assumptions!$C$8*1))/(Assumptions!$D$77*Assumptions!$C$9)))</f>
        <v>1</v>
      </c>
      <c r="AW15" s="16" t="n">
        <f aca="false">MIN(1,MAX(0,(AW$4-(Assumptions!$C$93+Assumptions!$C$8*1))/(Assumptions!$D$77*Assumptions!$C$9)))</f>
        <v>1</v>
      </c>
      <c r="AX15" s="16" t="n">
        <f aca="false">MIN(1,MAX(0,(AX$4-(Assumptions!$C$93+Assumptions!$C$8*1))/(Assumptions!$D$77*Assumptions!$C$9)))</f>
        <v>1</v>
      </c>
      <c r="AY15" s="16" t="n">
        <f aca="false">MIN(1,MAX(0,(AY$4-(Assumptions!$C$93+Assumptions!$C$8*1))/(Assumptions!$D$77*Assumptions!$C$9)))</f>
        <v>1</v>
      </c>
      <c r="AZ15" s="16" t="n">
        <f aca="false">MIN(1,MAX(0,(AZ$4-(Assumptions!$C$93+Assumptions!$C$8*1))/(Assumptions!$D$77*Assumptions!$C$9)))</f>
        <v>1</v>
      </c>
      <c r="BA15" s="16" t="n">
        <f aca="false">MIN(1,MAX(0,(BA$4-(Assumptions!$C$93+Assumptions!$C$8*1))/(Assumptions!$D$77*Assumptions!$C$9)))</f>
        <v>1</v>
      </c>
      <c r="BB15" s="16" t="n">
        <f aca="false">MIN(1,MAX(0,(BB$4-(Assumptions!$C$93+Assumptions!$C$8*1))/(Assumptions!$D$77*Assumptions!$C$9)))</f>
        <v>1</v>
      </c>
      <c r="BC15" s="16" t="n">
        <f aca="false">MIN(1,MAX(0,(BC$4-(Assumptions!$C$93+Assumptions!$C$8*1))/(Assumptions!$D$77*Assumptions!$C$9)))</f>
        <v>1</v>
      </c>
      <c r="BD15" s="16" t="n">
        <f aca="false">MIN(1,MAX(0,(BD$4-(Assumptions!$C$93+Assumptions!$C$8*1))/(Assumptions!$D$77*Assumptions!$C$9)))</f>
        <v>1</v>
      </c>
      <c r="BE15" s="16" t="n">
        <f aca="false">MIN(1,MAX(0,(BE$4-(Assumptions!$C$93+Assumptions!$C$8*1))/(Assumptions!$D$77*Assumptions!$C$9)))</f>
        <v>1</v>
      </c>
      <c r="BF15" s="16" t="n">
        <f aca="false">MIN(1,MAX(0,(BF$4-(Assumptions!$C$93+Assumptions!$C$8*1))/(Assumptions!$D$77*Assumptions!$C$9)))</f>
        <v>1</v>
      </c>
      <c r="BG15" s="16" t="n">
        <f aca="false">MIN(1,MAX(0,(BG$4-(Assumptions!$C$93+Assumptions!$C$8*1))/(Assumptions!$D$77*Assumptions!$C$9)))</f>
        <v>1</v>
      </c>
      <c r="BH15" s="16" t="n">
        <f aca="false">MIN(1,MAX(0,(BH$4-(Assumptions!$C$93+Assumptions!$C$8*1))/(Assumptions!$D$77*Assumptions!$C$9)))</f>
        <v>1</v>
      </c>
      <c r="BI15" s="16" t="n">
        <f aca="false">MIN(1,MAX(0,(BI$4-(Assumptions!$C$93+Assumptions!$C$8*1))/(Assumptions!$D$77*Assumptions!$C$9)))</f>
        <v>1</v>
      </c>
      <c r="BJ15" s="16" t="n">
        <f aca="false">MIN(1,MAX(0,(BJ$4-(Assumptions!$C$93+Assumptions!$C$8*1))/(Assumptions!$D$77*Assumptions!$C$9)))</f>
        <v>1</v>
      </c>
      <c r="BN15" s="31" t="n">
        <f aca="false">AVERAGE(C15:N15)</f>
        <v>0</v>
      </c>
      <c r="BO15" s="31" t="n">
        <f aca="false">AVERAGE(O15:Z15)</f>
        <v>0.541666666666667</v>
      </c>
      <c r="BP15" s="31" t="n">
        <f aca="false">AVERAGE(AA15:AL15)</f>
        <v>1</v>
      </c>
      <c r="BQ15" s="31" t="n">
        <f aca="false">AVERAGE(AM15:AX15)</f>
        <v>1</v>
      </c>
      <c r="BR15" s="31" t="n">
        <f aca="false">AVERAGE(AY15:BJ15)</f>
        <v>1</v>
      </c>
      <c r="BT15" s="31" t="n">
        <f aca="false">N15</f>
        <v>0</v>
      </c>
      <c r="BU15" s="31" t="n">
        <f aca="false">Z15</f>
        <v>1</v>
      </c>
      <c r="BV15" s="31" t="n">
        <f aca="false">AL15</f>
        <v>1</v>
      </c>
      <c r="BW15" s="31" t="n">
        <f aca="false">AX15</f>
        <v>1</v>
      </c>
      <c r="BX15" s="31" t="n">
        <f aca="false">BJ15</f>
        <v>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2"/>
    <col collapsed="false" customWidth="true" hidden="false" outlineLevel="0" max="8" min="2" style="0" width="15"/>
  </cols>
  <sheetData>
    <row r="1" customFormat="false" ht="17.35" hidden="false" customHeight="false" outlineLevel="0" collapsed="false">
      <c r="A1" s="1" t="s">
        <v>388</v>
      </c>
    </row>
    <row r="2" customFormat="false" ht="15" hidden="false" customHeight="false" outlineLevel="0" collapsed="false">
      <c r="A2" s="2" t="s">
        <v>389</v>
      </c>
    </row>
    <row r="4" customFormat="false" ht="15" hidden="false" customHeight="false" outlineLevel="0" collapsed="false">
      <c r="A4" s="3" t="s">
        <v>390</v>
      </c>
      <c r="B4" s="7" t="s">
        <v>391</v>
      </c>
      <c r="D4" s="3" t="n">
        <v>2027</v>
      </c>
      <c r="E4" s="3" t="n">
        <v>2028</v>
      </c>
      <c r="F4" s="3" t="n">
        <v>2029</v>
      </c>
      <c r="G4" s="3" t="n">
        <v>2030</v>
      </c>
      <c r="H4" s="3" t="n">
        <v>2031</v>
      </c>
    </row>
    <row r="5" customFormat="false" ht="15" hidden="false" customHeight="false" outlineLevel="0" collapsed="false">
      <c r="A5" s="7" t="s">
        <v>392</v>
      </c>
      <c r="D5" s="31" t="n">
        <f aca="false">(1+Assumptions!$C$12)^1</f>
        <v>1.03</v>
      </c>
      <c r="E5" s="31" t="n">
        <f aca="false">(1+Assumptions!$C$12)^2</f>
        <v>1.0609</v>
      </c>
      <c r="F5" s="31" t="n">
        <f aca="false">(1+Assumptions!$C$12)^3</f>
        <v>1.092727</v>
      </c>
      <c r="G5" s="31" t="n">
        <f aca="false">(1+Assumptions!$C$12)^4</f>
        <v>1.12550881</v>
      </c>
      <c r="H5" s="31" t="n">
        <f aca="false">(1+Assumptions!$C$12)^5</f>
        <v>1.1592740743</v>
      </c>
    </row>
    <row r="6" customFormat="false" ht="15" hidden="false" customHeight="false" outlineLevel="0" collapsed="false">
      <c r="A6" s="7" t="s">
        <v>393</v>
      </c>
      <c r="D6" s="9" t="n">
        <f aca="false">Assumptions!$C$10</f>
        <v>1</v>
      </c>
    </row>
    <row r="8" customFormat="false" ht="15" hidden="false" customHeight="false" outlineLevel="0" collapsed="false">
      <c r="A8" s="3" t="s">
        <v>394</v>
      </c>
    </row>
    <row r="9" customFormat="false" ht="23.85" hidden="false" customHeight="false" outlineLevel="0" collapsed="false">
      <c r="A9" s="6" t="s">
        <v>395</v>
      </c>
      <c r="B9" s="6" t="s">
        <v>396</v>
      </c>
      <c r="C9" s="6"/>
      <c r="D9" s="6" t="s">
        <v>397</v>
      </c>
      <c r="E9" s="6" t="s">
        <v>398</v>
      </c>
      <c r="F9" s="6" t="s">
        <v>399</v>
      </c>
      <c r="G9" s="6" t="s">
        <v>400</v>
      </c>
      <c r="H9" s="6" t="s">
        <v>401</v>
      </c>
    </row>
    <row r="10" customFormat="false" ht="15" hidden="false" customHeight="false" outlineLevel="0" collapsed="false">
      <c r="A10" s="7" t="s">
        <v>241</v>
      </c>
      <c r="B10" s="8" t="n">
        <f aca="false">Baseline_Diagnostic!$C$29*Assumptions!$C$57</f>
        <v>40040.2010050251</v>
      </c>
      <c r="D10" s="27" t="n">
        <f aca="false">$B10*Ramp!$BN$6*D$5*$D$6</f>
        <v>18902.3115577889</v>
      </c>
      <c r="E10" s="27" t="n">
        <f aca="false">$B10*Ramp!$BO$6*E$5*$D$6</f>
        <v>42478.6492462312</v>
      </c>
      <c r="F10" s="27" t="n">
        <f aca="false">$B10*Ramp!$BP$6*F$5*$D$6</f>
        <v>43753.0087236181</v>
      </c>
      <c r="G10" s="27" t="n">
        <f aca="false">$B10*Ramp!$BQ$6*G$5*$D$6</f>
        <v>45065.5989853266</v>
      </c>
      <c r="H10" s="27" t="n">
        <f aca="false">$B10*Ramp!$BR$6*H$5*$D$6</f>
        <v>46417.5669548864</v>
      </c>
    </row>
    <row r="11" customFormat="false" ht="15" hidden="false" customHeight="false" outlineLevel="0" collapsed="false">
      <c r="A11" s="7" t="s">
        <v>402</v>
      </c>
      <c r="B11" s="8" t="n">
        <f aca="false">Baseline_Diagnostic!$C$30*Assumptions!$C$58</f>
        <v>26987.9396984925</v>
      </c>
      <c r="D11" s="27" t="n">
        <f aca="false">$B11*Ramp!$BN$6*D$5*$D$6</f>
        <v>12740.5565326633</v>
      </c>
      <c r="E11" s="27" t="n">
        <f aca="false">$B11*Ramp!$BO$6*E$5*$D$6</f>
        <v>28631.5052261307</v>
      </c>
      <c r="F11" s="27" t="n">
        <f aca="false">$B11*Ramp!$BP$6*F$5*$D$6</f>
        <v>29490.4503829146</v>
      </c>
      <c r="G11" s="27" t="n">
        <f aca="false">$B11*Ramp!$BQ$6*G$5*$D$6</f>
        <v>30375.163894402</v>
      </c>
      <c r="H11" s="27" t="n">
        <f aca="false">$B11*Ramp!$BR$6*H$5*$D$6</f>
        <v>31286.4188112341</v>
      </c>
    </row>
    <row r="12" customFormat="false" ht="15" hidden="false" customHeight="false" outlineLevel="0" collapsed="false">
      <c r="A12" s="7" t="s">
        <v>403</v>
      </c>
      <c r="B12" s="8" t="n">
        <f aca="false">Baseline_Diagnostic!$C$31*Assumptions!$C$59</f>
        <v>16924.6231155779</v>
      </c>
      <c r="D12" s="27" t="n">
        <f aca="false">$B12*Ramp!$BN$6*D$5*$D$6</f>
        <v>7989.8324958124</v>
      </c>
      <c r="E12" s="27" t="n">
        <f aca="false">$B12*Ramp!$BO$6*E$5*$D$6</f>
        <v>17955.3326633166</v>
      </c>
      <c r="F12" s="27" t="n">
        <f aca="false">$B12*Ramp!$BP$6*F$5*$D$6</f>
        <v>18493.9926432161</v>
      </c>
      <c r="G12" s="27" t="n">
        <f aca="false">$B12*Ramp!$BQ$6*G$5*$D$6</f>
        <v>19048.8124225126</v>
      </c>
      <c r="H12" s="27" t="n">
        <f aca="false">$B12*Ramp!$BR$6*H$5*$D$6</f>
        <v>19620.2767951879</v>
      </c>
    </row>
    <row r="13" customFormat="false" ht="15" hidden="false" customHeight="false" outlineLevel="0" collapsed="false">
      <c r="A13" s="7" t="s">
        <v>404</v>
      </c>
      <c r="B13" s="8" t="n">
        <f aca="false">Baseline_Diagnostic!$C$32*IF(Assumptions!$C$4=4,Assumptions!$C$88,Assumptions!$C$60)</f>
        <v>0</v>
      </c>
      <c r="D13" s="27" t="n">
        <f aca="false">$B13*Ramp!$BN$6*D$5*$D$6</f>
        <v>0</v>
      </c>
      <c r="E13" s="27" t="n">
        <f aca="false">$B13*Ramp!$BO$6*E$5*$D$6</f>
        <v>0</v>
      </c>
      <c r="F13" s="27" t="n">
        <f aca="false">$B13*Ramp!$BP$6*F$5*$D$6</f>
        <v>0</v>
      </c>
      <c r="G13" s="27" t="n">
        <f aca="false">$B13*Ramp!$BQ$6*G$5*$D$6</f>
        <v>0</v>
      </c>
      <c r="H13" s="27" t="n">
        <f aca="false">$B13*Ramp!$BR$6*H$5*$D$6</f>
        <v>0</v>
      </c>
    </row>
    <row r="14" customFormat="false" ht="15" hidden="false" customHeight="false" outlineLevel="0" collapsed="false">
      <c r="A14" s="7" t="s">
        <v>405</v>
      </c>
      <c r="B14" s="8" t="n">
        <f aca="false">Baseline_Diagnostic!$C$36*Assumptions!$C$61</f>
        <v>9275</v>
      </c>
      <c r="D14" s="27" t="n">
        <f aca="false">$B14*Ramp!$BN$6*D$5*$D$6</f>
        <v>4378.57291666667</v>
      </c>
      <c r="E14" s="27" t="n">
        <f aca="false">$B14*Ramp!$BO$6*E$5*$D$6</f>
        <v>9839.8475</v>
      </c>
      <c r="F14" s="27" t="n">
        <f aca="false">$B14*Ramp!$BP$6*F$5*$D$6</f>
        <v>10135.042925</v>
      </c>
      <c r="G14" s="27" t="n">
        <f aca="false">$B14*Ramp!$BQ$6*G$5*$D$6</f>
        <v>10439.09421275</v>
      </c>
      <c r="H14" s="27" t="n">
        <f aca="false">$B14*Ramp!$BR$6*H$5*$D$6</f>
        <v>10752.2670391325</v>
      </c>
    </row>
    <row r="15" customFormat="false" ht="15" hidden="false" customHeight="false" outlineLevel="0" collapsed="false">
      <c r="A15" s="7" t="s">
        <v>406</v>
      </c>
      <c r="B15" s="8" t="n">
        <f aca="false">IF(Assumptions!$C$4=4,Assumptions!$C$87,Assumptions!$C$62)*Assumptions!$C$33*Assumptions!$E$39*1000000*Assumptions!$C$34</f>
        <v>24300</v>
      </c>
      <c r="D15" s="27" t="n">
        <f aca="false">$B15*Ramp!$BN$6*D$5*$D$6</f>
        <v>11471.625</v>
      </c>
      <c r="E15" s="27" t="n">
        <f aca="false">$B15*Ramp!$BO$6*E$5*$D$6</f>
        <v>25779.87</v>
      </c>
      <c r="F15" s="27" t="n">
        <f aca="false">$B15*Ramp!$BP$6*F$5*$D$6</f>
        <v>26553.2661</v>
      </c>
      <c r="G15" s="27" t="n">
        <f aca="false">$B15*Ramp!$BQ$6*G$5*$D$6</f>
        <v>27349.864083</v>
      </c>
      <c r="H15" s="27" t="n">
        <f aca="false">$B15*Ramp!$BR$6*H$5*$D$6</f>
        <v>28170.36000549</v>
      </c>
    </row>
    <row r="16" customFormat="false" ht="15" hidden="false" customHeight="false" outlineLevel="0" collapsed="false">
      <c r="A16" s="7" t="s">
        <v>407</v>
      </c>
      <c r="B16" s="8" t="n">
        <f aca="false">(Baseline_Diagnostic!$C$33*IF(Assumptions!$C$4=4,Assumptions!$C$83,Assumptions!$C$63)*Baseline_Diagnostic!$C$37+(Baseline_Diagnostic!$C$34-IF(Assumptions!$C$4=4,Assumptions!$C$84,Assumptions!$C$64)*12)*Baseline_Diagnostic!$C$38+Baseline_Diagnostic!$C$35*(0.14-(1-IF(Assumptions!$C$4=4,Assumptions!$C$85,Assumptions!$C$65)))/0.14*Baseline_Diagnostic!$C$39)*Assumptions!$C$13</f>
        <v>22340.0625</v>
      </c>
      <c r="D16" s="27" t="n">
        <f aca="false">$B16*Ramp!$BN$6*D$5*$D$6</f>
        <v>10546.371171875</v>
      </c>
      <c r="E16" s="27" t="n">
        <f aca="false">$B16*Ramp!$BO$6*E$5*$D$6</f>
        <v>23700.57230625</v>
      </c>
      <c r="F16" s="27" t="n">
        <f aca="false">$B16*Ramp!$BP$6*F$5*$D$6</f>
        <v>24411.5894754375</v>
      </c>
      <c r="G16" s="27" t="n">
        <f aca="false">$B16*Ramp!$BQ$6*G$5*$D$6</f>
        <v>25143.9371597006</v>
      </c>
      <c r="H16" s="27" t="n">
        <f aca="false">$B16*Ramp!$BR$6*H$5*$D$6</f>
        <v>25898.2552744917</v>
      </c>
    </row>
    <row r="17" customFormat="false" ht="15" hidden="false" customHeight="false" outlineLevel="0" collapsed="false">
      <c r="A17" s="7" t="s">
        <v>408</v>
      </c>
      <c r="D17" s="27" t="n">
        <f aca="false">Assumptions!$C$31*(CashFlows!B15+CashFlows!C15)/2</f>
        <v>2791.81735159817</v>
      </c>
      <c r="E17" s="27" t="n">
        <f aca="false">Assumptions!$C$31*(CashFlows!C15+CashFlows!D15)/2</f>
        <v>7105.17515981735</v>
      </c>
      <c r="F17" s="27" t="n">
        <f aca="false">Assumptions!$C$31*(CashFlows!D15+CashFlows!E15)/2</f>
        <v>8756.11635068493</v>
      </c>
      <c r="G17" s="27" t="n">
        <f aca="false">Assumptions!$C$31*(CashFlows!E15+CashFlows!F15)/2</f>
        <v>9018.79984120548</v>
      </c>
      <c r="H17" s="27" t="n">
        <f aca="false">Assumptions!$C$31*(CashFlows!F15+CashFlows!G15)/2</f>
        <v>9289.36383644165</v>
      </c>
    </row>
    <row r="18" customFormat="false" ht="15" hidden="false" customHeight="false" outlineLevel="0" collapsed="false">
      <c r="A18" s="3" t="s">
        <v>409</v>
      </c>
      <c r="D18" s="28" t="n">
        <f aca="false">SUM(D10:D17)</f>
        <v>68821.0870264045</v>
      </c>
      <c r="E18" s="28" t="n">
        <f aca="false">SUM(E10:E17)</f>
        <v>155490.952101746</v>
      </c>
      <c r="F18" s="28" t="n">
        <f aca="false">SUM(F10:F17)</f>
        <v>161593.466600871</v>
      </c>
      <c r="G18" s="28" t="n">
        <f aca="false">SUM(G10:G17)</f>
        <v>166441.270598897</v>
      </c>
      <c r="H18" s="28" t="n">
        <f aca="false">SUM(H10:H17)</f>
        <v>171434.508716864</v>
      </c>
    </row>
    <row r="21" customFormat="false" ht="15" hidden="false" customHeight="false" outlineLevel="0" collapsed="false">
      <c r="A21" s="3" t="s">
        <v>410</v>
      </c>
    </row>
    <row r="22" customFormat="false" ht="23.85" hidden="false" customHeight="false" outlineLevel="0" collapsed="false">
      <c r="A22" s="6" t="s">
        <v>395</v>
      </c>
      <c r="B22" s="6" t="s">
        <v>396</v>
      </c>
      <c r="C22" s="6"/>
      <c r="D22" s="6" t="s">
        <v>397</v>
      </c>
      <c r="E22" s="6" t="s">
        <v>398</v>
      </c>
      <c r="F22" s="6" t="s">
        <v>399</v>
      </c>
      <c r="G22" s="6" t="s">
        <v>400</v>
      </c>
      <c r="H22" s="6" t="s">
        <v>401</v>
      </c>
    </row>
    <row r="23" customFormat="false" ht="15" hidden="false" customHeight="false" outlineLevel="0" collapsed="false">
      <c r="A23" s="7" t="s">
        <v>241</v>
      </c>
      <c r="B23" s="8" t="n">
        <f aca="false">Baseline_Diagnostic!$C$29*Assumptions!$D$57</f>
        <v>110110.552763819</v>
      </c>
      <c r="D23" s="27" t="n">
        <f aca="false">$B23*Ramp!$BN$7*D$5*$D$6</f>
        <v>1050.12841987716</v>
      </c>
      <c r="E23" s="27" t="n">
        <f aca="false">$B23*Ramp!$BO$7*E$5*$D$6</f>
        <v>86530.5817978783</v>
      </c>
      <c r="F23" s="27" t="n">
        <f aca="false">$B23*Ramp!$BP$7*F$5*$D$6</f>
        <v>120320.77398995</v>
      </c>
      <c r="G23" s="27" t="n">
        <f aca="false">$B23*Ramp!$BQ$7*G$5*$D$6</f>
        <v>123930.397209648</v>
      </c>
      <c r="H23" s="27" t="n">
        <f aca="false">$B23*Ramp!$BR$7*H$5*$D$6</f>
        <v>127648.309125938</v>
      </c>
    </row>
    <row r="24" customFormat="false" ht="15" hidden="false" customHeight="false" outlineLevel="0" collapsed="false">
      <c r="A24" s="7" t="s">
        <v>402</v>
      </c>
      <c r="B24" s="8" t="n">
        <f aca="false">Baseline_Diagnostic!$C$30*Assumptions!$D$58</f>
        <v>74216.8341708543</v>
      </c>
      <c r="D24" s="27" t="n">
        <f aca="false">$B24*Ramp!$BN$7*D$5*$D$6</f>
        <v>707.808696259073</v>
      </c>
      <c r="E24" s="27" t="n">
        <f aca="false">$B24*Ramp!$BO$7*E$5*$D$6</f>
        <v>58323.4365717476</v>
      </c>
      <c r="F24" s="27" t="n">
        <f aca="false">$B24*Ramp!$BP$7*F$5*$D$6</f>
        <v>81098.7385530151</v>
      </c>
      <c r="G24" s="27" t="n">
        <f aca="false">$B24*Ramp!$BQ$7*G$5*$D$6</f>
        <v>83531.7007096056</v>
      </c>
      <c r="H24" s="27" t="n">
        <f aca="false">$B24*Ramp!$BR$7*H$5*$D$6</f>
        <v>86037.6517308937</v>
      </c>
    </row>
    <row r="25" customFormat="false" ht="15" hidden="false" customHeight="false" outlineLevel="0" collapsed="false">
      <c r="A25" s="7" t="s">
        <v>403</v>
      </c>
      <c r="B25" s="8" t="n">
        <f aca="false">Baseline_Diagnostic!$C$31*Assumptions!$D$59</f>
        <v>59236.1809045226</v>
      </c>
      <c r="D25" s="27" t="n">
        <f aca="false">$B25*Ramp!$BN$7*D$5*$D$6</f>
        <v>564.937651219058</v>
      </c>
      <c r="E25" s="27" t="n">
        <f aca="false">$B25*Ramp!$BO$7*E$5*$D$6</f>
        <v>46550.8624604504</v>
      </c>
      <c r="F25" s="27" t="n">
        <f aca="false">$B25*Ramp!$BP$7*F$5*$D$6</f>
        <v>64728.9742512563</v>
      </c>
      <c r="G25" s="27" t="n">
        <f aca="false">$B25*Ramp!$BQ$7*G$5*$D$6</f>
        <v>66670.843478794</v>
      </c>
      <c r="H25" s="27" t="n">
        <f aca="false">$B25*Ramp!$BR$7*H$5*$D$6</f>
        <v>68670.9687831578</v>
      </c>
    </row>
    <row r="26" customFormat="false" ht="15" hidden="false" customHeight="false" outlineLevel="0" collapsed="false">
      <c r="A26" s="7" t="s">
        <v>404</v>
      </c>
      <c r="B26" s="8" t="n">
        <f aca="false">Baseline_Diagnostic!$C$32*IF(Assumptions!$C$4=4,Assumptions!$D$88,Assumptions!$D$60)</f>
        <v>24931.2</v>
      </c>
      <c r="D26" s="27" t="n">
        <f aca="false">$B26*Ramp!$BN$7*D$5*$D$6</f>
        <v>237.769777777778</v>
      </c>
      <c r="E26" s="27" t="n">
        <f aca="false">$B26*Ramp!$BO$7*E$5*$D$6</f>
        <v>19592.2296888889</v>
      </c>
      <c r="F26" s="27" t="n">
        <f aca="false">$B26*Ramp!$BP$7*F$5*$D$6</f>
        <v>27242.9953824</v>
      </c>
      <c r="G26" s="27" t="n">
        <f aca="false">$B26*Ramp!$BQ$7*G$5*$D$6</f>
        <v>28060.285243872</v>
      </c>
      <c r="H26" s="27" t="n">
        <f aca="false">$B26*Ramp!$BR$7*H$5*$D$6</f>
        <v>28902.0938011882</v>
      </c>
    </row>
    <row r="27" customFormat="false" ht="15" hidden="false" customHeight="false" outlineLevel="0" collapsed="false">
      <c r="A27" s="7" t="s">
        <v>405</v>
      </c>
      <c r="B27" s="8" t="n">
        <f aca="false">Baseline_Diagnostic!$C$36*Assumptions!$D$61</f>
        <v>37100</v>
      </c>
      <c r="D27" s="27" t="n">
        <f aca="false">$B27*Ramp!$BN$7*D$5*$D$6</f>
        <v>353.824074074074</v>
      </c>
      <c r="E27" s="27" t="n">
        <f aca="false">$B27*Ramp!$BO$7*E$5*$D$6</f>
        <v>29155.1037037037</v>
      </c>
      <c r="F27" s="27" t="n">
        <f aca="false">$B27*Ramp!$BP$7*F$5*$D$6</f>
        <v>40540.1717</v>
      </c>
      <c r="G27" s="27" t="n">
        <f aca="false">$B27*Ramp!$BQ$7*G$5*$D$6</f>
        <v>41756.376851</v>
      </c>
      <c r="H27" s="27" t="n">
        <f aca="false">$B27*Ramp!$BR$7*H$5*$D$6</f>
        <v>43009.06815653</v>
      </c>
    </row>
    <row r="28" customFormat="false" ht="15" hidden="false" customHeight="false" outlineLevel="0" collapsed="false">
      <c r="A28" s="7" t="s">
        <v>406</v>
      </c>
      <c r="B28" s="8" t="n">
        <f aca="false">IF(Assumptions!$C$4=4,Assumptions!$D$87,Assumptions!$D$62)*Assumptions!$C$33*Assumptions!$E$39*1000000*Assumptions!$C$34</f>
        <v>60750</v>
      </c>
      <c r="D28" s="27" t="n">
        <f aca="false">$B28*Ramp!$BN$7*D$5*$D$6</f>
        <v>579.375</v>
      </c>
      <c r="E28" s="27" t="n">
        <f aca="false">$B28*Ramp!$BO$7*E$5*$D$6</f>
        <v>47740.5</v>
      </c>
      <c r="F28" s="27" t="n">
        <f aca="false">$B28*Ramp!$BP$7*F$5*$D$6</f>
        <v>66383.16525</v>
      </c>
      <c r="G28" s="27" t="n">
        <f aca="false">$B28*Ramp!$BQ$7*G$5*$D$6</f>
        <v>68374.6602075</v>
      </c>
      <c r="H28" s="27" t="n">
        <f aca="false">$B28*Ramp!$BR$7*H$5*$D$6</f>
        <v>70425.900013725</v>
      </c>
    </row>
    <row r="29" customFormat="false" ht="15" hidden="false" customHeight="false" outlineLevel="0" collapsed="false">
      <c r="A29" s="7" t="s">
        <v>407</v>
      </c>
      <c r="B29" s="8" t="n">
        <f aca="false">(Baseline_Diagnostic!$C$33*IF(Assumptions!$C$4=4,Assumptions!$D$83,Assumptions!$D$63)*Baseline_Diagnostic!$C$37+(Baseline_Diagnostic!$C$34-IF(Assumptions!$C$4=4,Assumptions!$D$84,Assumptions!$D$64)*12)*Baseline_Diagnostic!$C$38+Baseline_Diagnostic!$C$35*(0.14-(1-IF(Assumptions!$C$4=4,Assumptions!$D$85,Assumptions!$D$65)))/0.14*Baseline_Diagnostic!$C$39)*Assumptions!$C$13</f>
        <v>53939.375</v>
      </c>
      <c r="D29" s="27" t="n">
        <f aca="false">$B29*Ramp!$BN$7*D$5*$D$6</f>
        <v>514.421817129629</v>
      </c>
      <c r="E29" s="27" t="n">
        <f aca="false">$B29*Ramp!$BO$7*E$5*$D$6</f>
        <v>42388.3577314815</v>
      </c>
      <c r="F29" s="27" t="n">
        <f aca="false">$B29*Ramp!$BP$7*F$5*$D$6</f>
        <v>58941.011425625</v>
      </c>
      <c r="G29" s="27" t="n">
        <f aca="false">$B29*Ramp!$BQ$7*G$5*$D$6</f>
        <v>60709.2417683937</v>
      </c>
      <c r="H29" s="27" t="n">
        <f aca="false">$B29*Ramp!$BR$7*H$5*$D$6</f>
        <v>62530.5190214455</v>
      </c>
    </row>
    <row r="30" customFormat="false" ht="15" hidden="false" customHeight="false" outlineLevel="0" collapsed="false">
      <c r="A30" s="7" t="s">
        <v>408</v>
      </c>
      <c r="D30" s="27" t="n">
        <f aca="false">Assumptions!$C$31*(CashFlows!B54+CashFlows!C54)/2</f>
        <v>959.687214611872</v>
      </c>
      <c r="E30" s="27" t="n">
        <f aca="false">Assumptions!$C$31*(CashFlows!C54+CashFlows!D54)/2</f>
        <v>12821.4211872146</v>
      </c>
      <c r="F30" s="27" t="n">
        <f aca="false">Assumptions!$C$31*(CashFlows!D54+CashFlows!E54)/2</f>
        <v>24079.3199643836</v>
      </c>
      <c r="G30" s="27" t="n">
        <f aca="false">Assumptions!$C$31*(CashFlows!E54+CashFlows!F54)/2</f>
        <v>24801.6995633151</v>
      </c>
      <c r="H30" s="27" t="n">
        <f aca="false">Assumptions!$C$31*(CashFlows!F54+CashFlows!G54)/2</f>
        <v>25545.7505502145</v>
      </c>
    </row>
    <row r="31" customFormat="false" ht="15" hidden="false" customHeight="false" outlineLevel="0" collapsed="false">
      <c r="A31" s="3" t="s">
        <v>411</v>
      </c>
      <c r="D31" s="28" t="n">
        <f aca="false">SUM(D23:D30)</f>
        <v>4967.95265094865</v>
      </c>
      <c r="E31" s="28" t="n">
        <f aca="false">SUM(E23:E30)</f>
        <v>343102.493141365</v>
      </c>
      <c r="F31" s="28" t="n">
        <f aca="false">SUM(F23:F30)</f>
        <v>483335.15051663</v>
      </c>
      <c r="G31" s="28" t="n">
        <f aca="false">SUM(G23:G30)</f>
        <v>497835.205032129</v>
      </c>
      <c r="H31" s="28" t="n">
        <f aca="false">SUM(H23:H30)</f>
        <v>512770.261183093</v>
      </c>
    </row>
    <row r="34" customFormat="false" ht="15" hidden="false" customHeight="false" outlineLevel="0" collapsed="false">
      <c r="A34" s="3" t="s">
        <v>412</v>
      </c>
    </row>
    <row r="35" customFormat="false" ht="23.85" hidden="false" customHeight="false" outlineLevel="0" collapsed="false">
      <c r="A35" s="6" t="s">
        <v>395</v>
      </c>
      <c r="B35" s="6" t="s">
        <v>396</v>
      </c>
      <c r="C35" s="6"/>
      <c r="D35" s="6" t="s">
        <v>397</v>
      </c>
      <c r="E35" s="6" t="s">
        <v>398</v>
      </c>
      <c r="F35" s="6" t="s">
        <v>399</v>
      </c>
      <c r="G35" s="6" t="s">
        <v>400</v>
      </c>
      <c r="H35" s="6" t="s">
        <v>401</v>
      </c>
    </row>
    <row r="36" customFormat="false" ht="15" hidden="false" customHeight="false" outlineLevel="0" collapsed="false">
      <c r="A36" s="7" t="s">
        <v>241</v>
      </c>
      <c r="B36" s="8" t="n">
        <f aca="false">Baseline_Diagnostic!$C$29*Assumptions!$E$57</f>
        <v>130130.653266332</v>
      </c>
      <c r="D36" s="27" t="n">
        <f aca="false">$B36*Ramp!$BN$8*D$5*$D$6</f>
        <v>0</v>
      </c>
      <c r="E36" s="27" t="n">
        <f aca="false">$B36*Ramp!$BO$8*E$5*$D$6</f>
        <v>52729.5732830821</v>
      </c>
      <c r="F36" s="27" t="n">
        <f aca="false">$B36*Ramp!$BP$8*F$5*$D$6</f>
        <v>141209.797252094</v>
      </c>
      <c r="G36" s="27" t="n">
        <f aca="false">$B36*Ramp!$BQ$8*G$5*$D$6</f>
        <v>146463.196702312</v>
      </c>
      <c r="H36" s="27" t="n">
        <f aca="false">$B36*Ramp!$BR$8*H$5*$D$6</f>
        <v>150857.092603381</v>
      </c>
    </row>
    <row r="37" customFormat="false" ht="15" hidden="false" customHeight="false" outlineLevel="0" collapsed="false">
      <c r="A37" s="7" t="s">
        <v>402</v>
      </c>
      <c r="B37" s="8" t="n">
        <f aca="false">Baseline_Diagnostic!$C$30*Assumptions!$E$58</f>
        <v>87710.8040201005</v>
      </c>
      <c r="D37" s="27" t="n">
        <f aca="false">$B37*Ramp!$BN$8*D$5*$D$6</f>
        <v>0</v>
      </c>
      <c r="E37" s="27" t="n">
        <f aca="false">$B37*Ramp!$BO$8*E$5*$D$6</f>
        <v>35540.8441609087</v>
      </c>
      <c r="F37" s="27" t="n">
        <f aca="false">$B37*Ramp!$BP$8*F$5*$D$6</f>
        <v>95178.3806629135</v>
      </c>
      <c r="G37" s="27" t="n">
        <f aca="false">$B37*Ramp!$BQ$8*G$5*$D$6</f>
        <v>98719.2826568066</v>
      </c>
      <c r="H37" s="27" t="n">
        <f aca="false">$B37*Ramp!$BR$8*H$5*$D$6</f>
        <v>101680.861136511</v>
      </c>
    </row>
    <row r="38" customFormat="false" ht="15" hidden="false" customHeight="false" outlineLevel="0" collapsed="false">
      <c r="A38" s="7" t="s">
        <v>403</v>
      </c>
      <c r="B38" s="8" t="n">
        <f aca="false">Baseline_Diagnostic!$C$31*Assumptions!$E$59</f>
        <v>84623.1155778895</v>
      </c>
      <c r="D38" s="27" t="n">
        <f aca="false">$B38*Ramp!$BN$8*D$5*$D$6</f>
        <v>0</v>
      </c>
      <c r="E38" s="27" t="n">
        <f aca="false">$B38*Ramp!$BO$8*E$5*$D$6</f>
        <v>34289.6977945282</v>
      </c>
      <c r="F38" s="27" t="n">
        <f aca="false">$B38*Ramp!$BP$8*F$5*$D$6</f>
        <v>91827.8106937465</v>
      </c>
      <c r="G38" s="27" t="n">
        <f aca="false">$B38*Ramp!$BQ$8*G$5*$D$6</f>
        <v>95244.0621125628</v>
      </c>
      <c r="H38" s="27" t="n">
        <f aca="false">$B38*Ramp!$BR$8*H$5*$D$6</f>
        <v>98101.3839759397</v>
      </c>
    </row>
    <row r="39" customFormat="false" ht="15" hidden="false" customHeight="false" outlineLevel="0" collapsed="false">
      <c r="A39" s="7" t="s">
        <v>404</v>
      </c>
      <c r="B39" s="8" t="n">
        <f aca="false">Baseline_Diagnostic!$C$32*IF(Assumptions!$C$4=4,Assumptions!$E$88,Assumptions!$E$60)</f>
        <v>41552</v>
      </c>
      <c r="D39" s="27" t="n">
        <f aca="false">$B39*Ramp!$BN$8*D$5*$D$6</f>
        <v>0</v>
      </c>
      <c r="E39" s="27" t="n">
        <f aca="false">$B39*Ramp!$BO$8*E$5*$D$6</f>
        <v>16837.0723888889</v>
      </c>
      <c r="F39" s="27" t="n">
        <f aca="false">$B39*Ramp!$BP$8*F$5*$D$6</f>
        <v>45089.6798574444</v>
      </c>
      <c r="G39" s="27" t="n">
        <f aca="false">$B39*Ramp!$BQ$8*G$5*$D$6</f>
        <v>46767.14207312</v>
      </c>
      <c r="H39" s="27" t="n">
        <f aca="false">$B39*Ramp!$BR$8*H$5*$D$6</f>
        <v>48170.1563353136</v>
      </c>
    </row>
    <row r="40" customFormat="false" ht="15" hidden="false" customHeight="false" outlineLevel="0" collapsed="false">
      <c r="A40" s="7" t="s">
        <v>405</v>
      </c>
      <c r="B40" s="8" t="n">
        <f aca="false">Baseline_Diagnostic!$C$36*Assumptions!$E$61</f>
        <v>46375</v>
      </c>
      <c r="D40" s="27" t="n">
        <f aca="false">$B40*Ramp!$BN$8*D$5*$D$6</f>
        <v>0</v>
      </c>
      <c r="E40" s="27" t="n">
        <f aca="false">$B40*Ramp!$BO$8*E$5*$D$6</f>
        <v>18791.3754340278</v>
      </c>
      <c r="F40" s="27" t="n">
        <f aca="false">$B40*Ramp!$BP$8*F$5*$D$6</f>
        <v>50323.3034123264</v>
      </c>
      <c r="G40" s="27" t="n">
        <f aca="false">$B40*Ramp!$BQ$8*G$5*$D$6</f>
        <v>52195.47106375</v>
      </c>
      <c r="H40" s="27" t="n">
        <f aca="false">$B40*Ramp!$BR$8*H$5*$D$6</f>
        <v>53761.3351956625</v>
      </c>
    </row>
    <row r="41" customFormat="false" ht="15" hidden="false" customHeight="false" outlineLevel="0" collapsed="false">
      <c r="A41" s="7" t="s">
        <v>406</v>
      </c>
      <c r="B41" s="8" t="n">
        <f aca="false">IF(Assumptions!$C$4=4,Assumptions!$E$87,Assumptions!$E$62)*Assumptions!$C$33*Assumptions!$E$39*1000000*Assumptions!$C$34</f>
        <v>85050</v>
      </c>
      <c r="D41" s="27" t="n">
        <f aca="false">$B41*Ramp!$BN$8*D$5*$D$6</f>
        <v>0</v>
      </c>
      <c r="E41" s="27" t="n">
        <f aca="false">$B41*Ramp!$BO$8*E$5*$D$6</f>
        <v>34462.6734375</v>
      </c>
      <c r="F41" s="27" t="n">
        <f aca="false">$B41*Ramp!$BP$8*F$5*$D$6</f>
        <v>92291.039465625</v>
      </c>
      <c r="G41" s="27" t="n">
        <f aca="false">$B41*Ramp!$BQ$8*G$5*$D$6</f>
        <v>95724.5242905</v>
      </c>
      <c r="H41" s="27" t="n">
        <f aca="false">$B41*Ramp!$BR$8*H$5*$D$6</f>
        <v>98596.260019215</v>
      </c>
    </row>
    <row r="42" customFormat="false" ht="15" hidden="false" customHeight="false" outlineLevel="0" collapsed="false">
      <c r="A42" s="7" t="s">
        <v>407</v>
      </c>
      <c r="B42" s="8" t="n">
        <f aca="false">(Baseline_Diagnostic!$C$33*IF(Assumptions!$C$4=4,Assumptions!$E$83,Assumptions!$E$63)*Baseline_Diagnostic!$C$37+(Baseline_Diagnostic!$C$34-IF(Assumptions!$C$4=4,Assumptions!$E$84,Assumptions!$E$64)*12)*Baseline_Diagnostic!$C$38+Baseline_Diagnostic!$C$35*(0.14-(1-IF(Assumptions!$C$4=4,Assumptions!$E$85,Assumptions!$E$65)))/0.14*Baseline_Diagnostic!$C$39)*Assumptions!$C$13</f>
        <v>63397.25</v>
      </c>
      <c r="D42" s="27" t="n">
        <f aca="false">$B42*Ramp!$BN$8*D$5*$D$6</f>
        <v>0</v>
      </c>
      <c r="E42" s="27" t="n">
        <f aca="false">$B42*Ramp!$BO$8*E$5*$D$6</f>
        <v>25688.8738810764</v>
      </c>
      <c r="F42" s="27" t="n">
        <f aca="false">$B42*Ramp!$BP$8*F$5*$D$6</f>
        <v>68794.8042535225</v>
      </c>
      <c r="G42" s="27" t="n">
        <f aca="false">$B42*Ramp!$BQ$8*G$5*$D$6</f>
        <v>71354.1634047725</v>
      </c>
      <c r="H42" s="27" t="n">
        <f aca="false">$B42*Ramp!$BR$8*H$5*$D$6</f>
        <v>73494.7883069157</v>
      </c>
    </row>
    <row r="43" customFormat="false" ht="15" hidden="false" customHeight="false" outlineLevel="0" collapsed="false">
      <c r="A43" s="7" t="s">
        <v>408</v>
      </c>
      <c r="D43" s="27" t="n">
        <f aca="false">Assumptions!$C$31*(CashFlows!B93+CashFlows!C93)/2</f>
        <v>0</v>
      </c>
      <c r="E43" s="27" t="n">
        <f aca="false">Assumptions!$C$31*(CashFlows!C93+CashFlows!D93)/2</f>
        <v>8387.08462709285</v>
      </c>
      <c r="F43" s="27" t="n">
        <f aca="false">Assumptions!$C$31*(CashFlows!D93+CashFlows!E93)/2</f>
        <v>23936.739525723</v>
      </c>
      <c r="G43" s="27" t="n">
        <f aca="false">Assumptions!$C$31*(CashFlows!E93+CashFlows!F93)/2</f>
        <v>31565.7994442192</v>
      </c>
      <c r="H43" s="27" t="n">
        <f aca="false">Assumptions!$C$31*(CashFlows!F93+CashFlows!G93)/2</f>
        <v>32512.7734275458</v>
      </c>
    </row>
    <row r="44" customFormat="false" ht="15" hidden="false" customHeight="false" outlineLevel="0" collapsed="false">
      <c r="A44" s="3" t="s">
        <v>413</v>
      </c>
      <c r="D44" s="28" t="n">
        <f aca="false">SUM(D36:D43)</f>
        <v>0</v>
      </c>
      <c r="E44" s="28" t="n">
        <f aca="false">SUM(E36:E43)</f>
        <v>226727.195007105</v>
      </c>
      <c r="F44" s="28" t="n">
        <f aca="false">SUM(F36:F43)</f>
        <v>608651.555123395</v>
      </c>
      <c r="G44" s="28" t="n">
        <f aca="false">SUM(G36:G43)</f>
        <v>638033.641748043</v>
      </c>
      <c r="H44" s="28" t="n">
        <f aca="false">SUM(H36:H43)</f>
        <v>657174.651000484</v>
      </c>
    </row>
    <row r="47" customFormat="false" ht="15" hidden="false" customHeight="false" outlineLevel="0" collapsed="false">
      <c r="A47" s="3" t="s">
        <v>414</v>
      </c>
    </row>
    <row r="48" customFormat="false" ht="15" hidden="false" customHeight="false" outlineLevel="0" collapsed="false">
      <c r="A48" s="6" t="s">
        <v>395</v>
      </c>
      <c r="B48" s="6"/>
      <c r="C48" s="6"/>
      <c r="D48" s="6" t="s">
        <v>397</v>
      </c>
      <c r="E48" s="6" t="s">
        <v>398</v>
      </c>
      <c r="F48" s="6" t="s">
        <v>399</v>
      </c>
      <c r="G48" s="6" t="s">
        <v>400</v>
      </c>
      <c r="H48" s="6" t="s">
        <v>401</v>
      </c>
    </row>
    <row r="49" customFormat="false" ht="15" hidden="false" customHeight="false" outlineLevel="0" collapsed="false">
      <c r="A49" s="7" t="s">
        <v>241</v>
      </c>
      <c r="D49" s="27" t="n">
        <f aca="false">($B10*Ramp!$BN$12+($B23-$B10)*Ramp!$BN$13)*D$5*$D$6</f>
        <v>18902.3115577889</v>
      </c>
      <c r="E49" s="27" t="n">
        <f aca="false">($B10*Ramp!$BO$12+($B23-$B10)*Ramp!$BO$13)*E$5*$D$6</f>
        <v>92037.0733668342</v>
      </c>
      <c r="F49" s="27" t="n">
        <f aca="false">($B10*Ramp!$BP$12+($B23-$B10)*Ramp!$BP$13)*F$5*$D$6</f>
        <v>120320.77398995</v>
      </c>
      <c r="G49" s="27" t="n">
        <f aca="false">($B10*Ramp!$BQ$12+($B23-$B10)*Ramp!$BQ$13)*G$5*$D$6</f>
        <v>123930.397209648</v>
      </c>
      <c r="H49" s="27" t="n">
        <f aca="false">($B10*Ramp!$BR$12+($B23-$B10)*Ramp!$BR$13)*H$5*$D$6</f>
        <v>127648.309125938</v>
      </c>
    </row>
    <row r="50" customFormat="false" ht="15" hidden="false" customHeight="false" outlineLevel="0" collapsed="false">
      <c r="A50" s="7" t="s">
        <v>402</v>
      </c>
      <c r="D50" s="27" t="n">
        <f aca="false">($B11*Ramp!$BN$12+($B24-$B11)*Ramp!$BN$13)*D$5*$D$6</f>
        <v>12740.5565326633</v>
      </c>
      <c r="E50" s="27" t="n">
        <f aca="false">($B11*Ramp!$BO$12+($B24-$B11)*Ramp!$BO$13)*E$5*$D$6</f>
        <v>62034.9279899498</v>
      </c>
      <c r="F50" s="27" t="n">
        <f aca="false">($B11*Ramp!$BP$12+($B24-$B11)*Ramp!$BP$13)*F$5*$D$6</f>
        <v>81098.7385530151</v>
      </c>
      <c r="G50" s="27" t="n">
        <f aca="false">($B11*Ramp!$BQ$12+($B24-$B11)*Ramp!$BQ$13)*G$5*$D$6</f>
        <v>83531.7007096056</v>
      </c>
      <c r="H50" s="27" t="n">
        <f aca="false">($B11*Ramp!$BR$12+($B24-$B11)*Ramp!$BR$13)*H$5*$D$6</f>
        <v>86037.6517308937</v>
      </c>
    </row>
    <row r="51" customFormat="false" ht="15" hidden="false" customHeight="false" outlineLevel="0" collapsed="false">
      <c r="A51" s="7" t="s">
        <v>403</v>
      </c>
      <c r="D51" s="27" t="n">
        <f aca="false">($B12*Ramp!$BN$12+($B25-$B12)*Ramp!$BN$13)*D$5*$D$6</f>
        <v>7989.8324958124</v>
      </c>
      <c r="E51" s="27" t="n">
        <f aca="false">($B12*Ramp!$BO$12+($B25-$B12)*Ramp!$BO$13)*E$5*$D$6</f>
        <v>47880.8871021775</v>
      </c>
      <c r="F51" s="27" t="n">
        <f aca="false">($B12*Ramp!$BP$12+($B25-$B12)*Ramp!$BP$13)*F$5*$D$6</f>
        <v>64728.9742512563</v>
      </c>
      <c r="G51" s="27" t="n">
        <f aca="false">($B12*Ramp!$BQ$12+($B25-$B12)*Ramp!$BQ$13)*G$5*$D$6</f>
        <v>66670.843478794</v>
      </c>
      <c r="H51" s="27" t="n">
        <f aca="false">($B12*Ramp!$BR$12+($B25-$B12)*Ramp!$BR$13)*H$5*$D$6</f>
        <v>68670.9687831578</v>
      </c>
    </row>
    <row r="52" customFormat="false" ht="15" hidden="false" customHeight="false" outlineLevel="0" collapsed="false">
      <c r="A52" s="7" t="s">
        <v>404</v>
      </c>
      <c r="D52" s="27" t="n">
        <f aca="false">($B13*Ramp!$BN$12+($B26-$B13)*Ramp!$BN$13)*D$5*$D$6</f>
        <v>0</v>
      </c>
      <c r="E52" s="27" t="n">
        <f aca="false">($B13*Ramp!$BO$12+($B26-$B13)*Ramp!$BO$13)*E$5*$D$6</f>
        <v>17633.00672</v>
      </c>
      <c r="F52" s="27" t="n">
        <f aca="false">($B13*Ramp!$BP$12+($B26-$B13)*Ramp!$BP$13)*F$5*$D$6</f>
        <v>27242.9953824</v>
      </c>
      <c r="G52" s="27" t="n">
        <f aca="false">($B13*Ramp!$BQ$12+($B26-$B13)*Ramp!$BQ$13)*G$5*$D$6</f>
        <v>28060.285243872</v>
      </c>
      <c r="H52" s="27" t="n">
        <f aca="false">($B13*Ramp!$BR$12+($B26-$B13)*Ramp!$BR$13)*H$5*$D$6</f>
        <v>28902.0938011882</v>
      </c>
    </row>
    <row r="53" customFormat="false" ht="15" hidden="false" customHeight="false" outlineLevel="0" collapsed="false">
      <c r="A53" s="7" t="s">
        <v>405</v>
      </c>
      <c r="D53" s="27" t="n">
        <f aca="false">($B14*Ramp!$BN$12+($B27-$B14)*Ramp!$BN$13)*D$5*$D$6</f>
        <v>4378.57291666667</v>
      </c>
      <c r="E53" s="27" t="n">
        <f aca="false">($B14*Ramp!$BO$12+($B27-$B14)*Ramp!$BO$13)*E$5*$D$6</f>
        <v>29519.5425</v>
      </c>
      <c r="F53" s="27" t="n">
        <f aca="false">($B14*Ramp!$BP$12+($B27-$B14)*Ramp!$BP$13)*F$5*$D$6</f>
        <v>40540.1717</v>
      </c>
      <c r="G53" s="27" t="n">
        <f aca="false">($B14*Ramp!$BQ$12+($B27-$B14)*Ramp!$BQ$13)*G$5*$D$6</f>
        <v>41756.376851</v>
      </c>
      <c r="H53" s="27" t="n">
        <f aca="false">($B14*Ramp!$BR$12+($B27-$B14)*Ramp!$BR$13)*H$5*$D$6</f>
        <v>43009.06815653</v>
      </c>
    </row>
    <row r="54" customFormat="false" ht="15" hidden="false" customHeight="false" outlineLevel="0" collapsed="false">
      <c r="A54" s="7" t="s">
        <v>406</v>
      </c>
      <c r="D54" s="27" t="n">
        <f aca="false">($B15*Ramp!$BN$12+($B28-$B15)*Ramp!$BN$13)*D$5*$D$6</f>
        <v>11471.625</v>
      </c>
      <c r="E54" s="27" t="n">
        <f aca="false">($B15*Ramp!$BO$12+($B28-$B15)*Ramp!$BO$13)*E$5*$D$6</f>
        <v>51559.74</v>
      </c>
      <c r="F54" s="27" t="n">
        <f aca="false">($B15*Ramp!$BP$12+($B28-$B15)*Ramp!$BP$13)*F$5*$D$6</f>
        <v>66383.16525</v>
      </c>
      <c r="G54" s="27" t="n">
        <f aca="false">($B15*Ramp!$BQ$12+($B28-$B15)*Ramp!$BQ$13)*G$5*$D$6</f>
        <v>68374.6602075</v>
      </c>
      <c r="H54" s="27" t="n">
        <f aca="false">($B15*Ramp!$BR$12+($B28-$B15)*Ramp!$BR$13)*H$5*$D$6</f>
        <v>70425.900013725</v>
      </c>
    </row>
    <row r="55" customFormat="false" ht="15" hidden="false" customHeight="false" outlineLevel="0" collapsed="false">
      <c r="A55" s="7" t="s">
        <v>407</v>
      </c>
      <c r="D55" s="27" t="n">
        <f aca="false">($B16*Ramp!$BN$12+($B29-$B16)*Ramp!$BN$13)*D$5*$D$6</f>
        <v>10546.371171875</v>
      </c>
      <c r="E55" s="27" t="n">
        <f aca="false">($B16*Ramp!$BO$12+($B29-$B16)*Ramp!$BO$13)*E$5*$D$6</f>
        <v>46049.7127270833</v>
      </c>
      <c r="F55" s="27" t="n">
        <f aca="false">($B16*Ramp!$BP$12+($B29-$B16)*Ramp!$BP$13)*F$5*$D$6</f>
        <v>58941.011425625</v>
      </c>
      <c r="G55" s="27" t="n">
        <f aca="false">($B16*Ramp!$BQ$12+($B29-$B16)*Ramp!$BQ$13)*G$5*$D$6</f>
        <v>60709.2417683937</v>
      </c>
      <c r="H55" s="27" t="n">
        <f aca="false">($B16*Ramp!$BR$12+($B29-$B16)*Ramp!$BR$13)*H$5*$D$6</f>
        <v>62530.5190214455</v>
      </c>
    </row>
    <row r="56" customFormat="false" ht="15" hidden="false" customHeight="false" outlineLevel="0" collapsed="false">
      <c r="A56" s="7" t="s">
        <v>408</v>
      </c>
      <c r="D56" s="27" t="n">
        <f aca="false">Assumptions!$C$31*(CashFlows!B132+CashFlows!C132)/2</f>
        <v>2791.81735159817</v>
      </c>
      <c r="E56" s="27" t="n">
        <f aca="false">Assumptions!$C$31*(CashFlows!C132+CashFlows!D132)/2</f>
        <v>14653.5513242009</v>
      </c>
      <c r="F56" s="27" t="n">
        <f aca="false">Assumptions!$C$31*(CashFlows!D132+CashFlows!E132)/2</f>
        <v>24079.3199643836</v>
      </c>
      <c r="G56" s="27" t="n">
        <f aca="false">Assumptions!$C$31*(CashFlows!E132+CashFlows!F132)/2</f>
        <v>24801.6995633151</v>
      </c>
      <c r="H56" s="27" t="n">
        <f aca="false">Assumptions!$C$31*(CashFlows!F132+CashFlows!G132)/2</f>
        <v>25545.7505502145</v>
      </c>
    </row>
    <row r="57" customFormat="false" ht="15" hidden="false" customHeight="false" outlineLevel="0" collapsed="false">
      <c r="A57" s="3" t="s">
        <v>415</v>
      </c>
      <c r="D57" s="28" t="n">
        <f aca="false">SUM(D49:D56)</f>
        <v>68821.0870264045</v>
      </c>
      <c r="E57" s="28" t="n">
        <f aca="false">SUM(E49:E56)</f>
        <v>361368.441730246</v>
      </c>
      <c r="F57" s="28" t="n">
        <f aca="false">SUM(F49:F56)</f>
        <v>483335.15051663</v>
      </c>
      <c r="G57" s="28" t="n">
        <f aca="false">SUM(G49:G56)</f>
        <v>497835.205032129</v>
      </c>
      <c r="H57" s="28" t="n">
        <f aca="false">SUM(H49:H56)</f>
        <v>512770.261183093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8" min="2" style="0" width="15"/>
  </cols>
  <sheetData>
    <row r="1" customFormat="false" ht="17.35" hidden="false" customHeight="false" outlineLevel="0" collapsed="false">
      <c r="A1" s="1" t="s">
        <v>416</v>
      </c>
    </row>
    <row r="2" customFormat="false" ht="15" hidden="false" customHeight="false" outlineLevel="0" collapsed="false">
      <c r="A2" s="2" t="s">
        <v>417</v>
      </c>
    </row>
    <row r="4" customFormat="false" ht="15" hidden="false" customHeight="false" outlineLevel="0" collapsed="false">
      <c r="A4" s="3" t="s">
        <v>418</v>
      </c>
    </row>
    <row r="5" customFormat="false" ht="15" hidden="false" customHeight="false" outlineLevel="0" collapsed="false">
      <c r="A5" s="6" t="s">
        <v>419</v>
      </c>
      <c r="B5" s="6" t="s">
        <v>420</v>
      </c>
      <c r="C5" s="6" t="s">
        <v>397</v>
      </c>
      <c r="D5" s="6" t="s">
        <v>398</v>
      </c>
      <c r="E5" s="6" t="s">
        <v>399</v>
      </c>
      <c r="F5" s="6" t="s">
        <v>400</v>
      </c>
      <c r="G5" s="6" t="s">
        <v>401</v>
      </c>
      <c r="H5" s="6" t="s">
        <v>421</v>
      </c>
    </row>
    <row r="6" customFormat="false" ht="15" hidden="false" customHeight="false" outlineLevel="0" collapsed="false">
      <c r="A6" s="7" t="s">
        <v>422</v>
      </c>
      <c r="B6" s="8" t="n">
        <f aca="false">Assumptions!$C$67*(1+Assumptions!$C$7*Assumptions!$C$68)</f>
        <v>239800</v>
      </c>
    </row>
    <row r="7" customFormat="false" ht="15" hidden="false" customHeight="false" outlineLevel="0" collapsed="false">
      <c r="A7" s="7" t="s">
        <v>423</v>
      </c>
      <c r="B7" s="8" t="n">
        <f aca="false">Assumptions!$C$69+Assumptions!$C$70+Assumptions!$C$71</f>
        <v>30000</v>
      </c>
    </row>
    <row r="8" customFormat="false" ht="15" hidden="false" customHeight="false" outlineLevel="0" collapsed="false">
      <c r="A8" s="3" t="s">
        <v>424</v>
      </c>
      <c r="B8" s="28" t="n">
        <f aca="false">-(B6+B7)</f>
        <v>-269800</v>
      </c>
    </row>
    <row r="9" customFormat="false" ht="15" hidden="false" customHeight="false" outlineLevel="0" collapsed="false">
      <c r="A9" s="7" t="s">
        <v>425</v>
      </c>
      <c r="C9" s="8" t="n">
        <f aca="false">Benefits!D18</f>
        <v>68821.0870264045</v>
      </c>
      <c r="D9" s="8" t="n">
        <f aca="false">Benefits!E18</f>
        <v>155490.952101746</v>
      </c>
      <c r="E9" s="8" t="n">
        <f aca="false">Benefits!F18</f>
        <v>161593.466600871</v>
      </c>
      <c r="F9" s="8" t="n">
        <f aca="false">Benefits!G18</f>
        <v>166441.270598897</v>
      </c>
      <c r="G9" s="8" t="n">
        <f aca="false">Benefits!H18</f>
        <v>171434.508716864</v>
      </c>
      <c r="H9" s="27" t="n">
        <f aca="false">SUM(B9:G9)</f>
        <v>723781.285044783</v>
      </c>
    </row>
    <row r="10" customFormat="false" ht="15" hidden="false" customHeight="false" outlineLevel="0" collapsed="false">
      <c r="A10" s="7" t="s">
        <v>426</v>
      </c>
      <c r="C10" s="27" t="n">
        <f aca="false">-Assumptions!$C$72*(1+Assumptions!$C$11)^0*(13-Assumptions!$C$78)/12</f>
        <v>-36666.6666666667</v>
      </c>
      <c r="D10" s="27" t="n">
        <f aca="false">-Assumptions!$C$72*(1+Assumptions!$C$11)^1*1</f>
        <v>-57750</v>
      </c>
      <c r="E10" s="27" t="n">
        <f aca="false">-Assumptions!$C$72*(1+Assumptions!$C$11)^2*1</f>
        <v>-60637.5</v>
      </c>
      <c r="F10" s="27" t="n">
        <f aca="false">-Assumptions!$C$72*(1+Assumptions!$C$11)^3*1</f>
        <v>-63669.375</v>
      </c>
      <c r="G10" s="27" t="n">
        <f aca="false">-Assumptions!$C$72*(1+Assumptions!$C$11)^4*1</f>
        <v>-66852.84375</v>
      </c>
      <c r="H10" s="27" t="n">
        <f aca="false">SUM(B10:G10)</f>
        <v>-285576.385416667</v>
      </c>
    </row>
    <row r="11" customFormat="false" ht="15" hidden="false" customHeight="false" outlineLevel="0" collapsed="false">
      <c r="A11" s="7" t="s">
        <v>427</v>
      </c>
      <c r="C11" s="27" t="n">
        <f aca="false">-(Assumptions!$C$73+Assumptions!$C$74)*(13-Assumptions!$C$79)/12</f>
        <v>-10000</v>
      </c>
      <c r="D11" s="27" t="n">
        <f aca="false">-(Assumptions!$C$73+Assumptions!$C$74)*1</f>
        <v>-15000</v>
      </c>
      <c r="E11" s="27" t="n">
        <f aca="false">-(Assumptions!$C$73+Assumptions!$C$74)*1</f>
        <v>-15000</v>
      </c>
      <c r="F11" s="27" t="n">
        <f aca="false">-(Assumptions!$C$73+Assumptions!$C$74)*1</f>
        <v>-15000</v>
      </c>
      <c r="G11" s="27" t="n">
        <f aca="false">-(Assumptions!$C$73+Assumptions!$C$74)*1</f>
        <v>-15000</v>
      </c>
      <c r="H11" s="27" t="n">
        <f aca="false">SUM(B11:G11)</f>
        <v>-70000</v>
      </c>
    </row>
    <row r="12" customFormat="false" ht="15" hidden="false" customHeight="false" outlineLevel="0" collapsed="false">
      <c r="A12" s="3" t="s">
        <v>428</v>
      </c>
      <c r="B12" s="28" t="n">
        <f aca="false">B8</f>
        <v>-269800</v>
      </c>
      <c r="C12" s="28" t="n">
        <f aca="false">SUM(C9:C11)</f>
        <v>22154.4203597378</v>
      </c>
      <c r="D12" s="28" t="n">
        <f aca="false">SUM(D9:D11)</f>
        <v>82740.9521017458</v>
      </c>
      <c r="E12" s="28" t="n">
        <f aca="false">SUM(E9:E11)</f>
        <v>85955.9666008712</v>
      </c>
      <c r="F12" s="28" t="n">
        <f aca="false">SUM(F9:F11)</f>
        <v>87771.8955988973</v>
      </c>
      <c r="G12" s="28" t="n">
        <f aca="false">SUM(G9:G11)</f>
        <v>89581.6649668643</v>
      </c>
      <c r="H12" s="27" t="n">
        <f aca="false">SUM(B12:G12)</f>
        <v>98404.8996281164</v>
      </c>
    </row>
    <row r="14" customFormat="false" ht="15" hidden="false" customHeight="false" outlineLevel="0" collapsed="false">
      <c r="A14" s="7" t="s">
        <v>429</v>
      </c>
      <c r="C14" s="16" t="n">
        <f aca="false">Assumptions!$C$10*(Assumptions!$C$30-IF(Assumptions!$C$4=4,Assumptions!$C$86,Assumptions!$C$66))*Ramp!$BT$9</f>
        <v>2.66666666666667</v>
      </c>
      <c r="D14" s="16" t="n">
        <f aca="false">Assumptions!$C$10*(Assumptions!$C$30-IF(Assumptions!$C$4=4,Assumptions!$C$86,Assumptions!$C$66))*Ramp!$BU$9</f>
        <v>4</v>
      </c>
      <c r="E14" s="16" t="n">
        <f aca="false">Assumptions!$C$10*(Assumptions!$C$30-IF(Assumptions!$C$4=4,Assumptions!$C$86,Assumptions!$C$66))*Ramp!$BV$9</f>
        <v>4</v>
      </c>
      <c r="F14" s="16" t="n">
        <f aca="false">Assumptions!$C$10*(Assumptions!$C$30-IF(Assumptions!$C$4=4,Assumptions!$C$86,Assumptions!$C$66))*Ramp!$BW$9</f>
        <v>4</v>
      </c>
      <c r="G14" s="16" t="n">
        <f aca="false">Assumptions!$C$10*(Assumptions!$C$30-IF(Assumptions!$C$4=4,Assumptions!$C$86,Assumptions!$C$66))*Ramp!$BX$9</f>
        <v>4</v>
      </c>
    </row>
    <row r="15" customFormat="false" ht="15" hidden="false" customHeight="false" outlineLevel="0" collapsed="false">
      <c r="A15" s="7" t="s">
        <v>430</v>
      </c>
      <c r="B15" s="27" t="n">
        <v>0</v>
      </c>
      <c r="C15" s="27" t="n">
        <f aca="false">C14*Baseline_Diagnostic!$C$40*Benefits!D$5</f>
        <v>279181.735159817</v>
      </c>
      <c r="D15" s="27" t="n">
        <f aca="false">D14*Baseline_Diagnostic!$C$40*Benefits!E$5</f>
        <v>431335.780821918</v>
      </c>
      <c r="E15" s="27" t="n">
        <f aca="false">E14*Baseline_Diagnostic!$C$40*Benefits!F$5</f>
        <v>444275.854246575</v>
      </c>
      <c r="F15" s="27" t="n">
        <f aca="false">F14*Baseline_Diagnostic!$C$40*Benefits!G$5</f>
        <v>457604.129873973</v>
      </c>
      <c r="G15" s="27" t="n">
        <f aca="false">G14*Baseline_Diagnostic!$C$40*Benefits!H$5</f>
        <v>471332.253770192</v>
      </c>
    </row>
    <row r="16" customFormat="false" ht="15" hidden="false" customHeight="false" outlineLevel="0" collapsed="false">
      <c r="A16" s="7" t="s">
        <v>431</v>
      </c>
      <c r="C16" s="27" t="n">
        <f aca="false">C15-B15</f>
        <v>279181.735159817</v>
      </c>
      <c r="D16" s="27" t="n">
        <f aca="false">D15-C15</f>
        <v>152154.0456621</v>
      </c>
      <c r="E16" s="27" t="n">
        <f aca="false">E15-D15</f>
        <v>12940.0734246575</v>
      </c>
      <c r="F16" s="27" t="n">
        <f aca="false">F15-E15</f>
        <v>13328.2756273974</v>
      </c>
      <c r="G16" s="27" t="n">
        <f aca="false">G15-F15</f>
        <v>13728.1238962191</v>
      </c>
      <c r="H16" s="27" t="n">
        <f aca="false">SUM(B16:G16)</f>
        <v>471332.253770192</v>
      </c>
    </row>
    <row r="17" customFormat="false" ht="15" hidden="false" customHeight="false" outlineLevel="0" collapsed="false">
      <c r="A17" s="7" t="s">
        <v>432</v>
      </c>
      <c r="C17" s="27" t="n">
        <f aca="false">-MAX(0,C16)*Assumptions!$C$32</f>
        <v>-13959.0867579909</v>
      </c>
      <c r="D17" s="27" t="n">
        <f aca="false">-MAX(0,D16)*Assumptions!$C$32</f>
        <v>-7607.70228310502</v>
      </c>
      <c r="E17" s="27" t="n">
        <f aca="false">-MAX(0,E16)*Assumptions!$C$32</f>
        <v>-647.003671232876</v>
      </c>
      <c r="F17" s="27" t="n">
        <f aca="false">-MAX(0,F16)*Assumptions!$C$32</f>
        <v>-666.413781369868</v>
      </c>
      <c r="G17" s="27" t="n">
        <f aca="false">-MAX(0,G16)*Assumptions!$C$32</f>
        <v>-686.406194810956</v>
      </c>
      <c r="H17" s="27" t="n">
        <f aca="false">SUM(B17:G17)</f>
        <v>-23566.6126885096</v>
      </c>
    </row>
    <row r="18" customFormat="false" ht="15" hidden="false" customHeight="false" outlineLevel="0" collapsed="false">
      <c r="A18" s="3" t="s">
        <v>433</v>
      </c>
      <c r="C18" s="28" t="n">
        <f aca="false">C16+C17</f>
        <v>265222.648401826</v>
      </c>
      <c r="D18" s="28" t="n">
        <f aca="false">D16+D17</f>
        <v>144546.343378995</v>
      </c>
      <c r="E18" s="28" t="n">
        <f aca="false">E16+E17</f>
        <v>12293.0697534246</v>
      </c>
      <c r="F18" s="28" t="n">
        <f aca="false">F16+F17</f>
        <v>12661.8618460275</v>
      </c>
      <c r="G18" s="28" t="n">
        <f aca="false">G16+G17</f>
        <v>13041.7177014082</v>
      </c>
      <c r="H18" s="27" t="n">
        <f aca="false">SUM(B18:G18)</f>
        <v>447765.641081682</v>
      </c>
    </row>
    <row r="19" customFormat="false" ht="15" hidden="false" customHeight="false" outlineLevel="0" collapsed="false">
      <c r="A19" s="7" t="s">
        <v>434</v>
      </c>
      <c r="C19" s="32" t="n">
        <f aca="false">0.06*AVERAGE(B15,C15)</f>
        <v>8375.45205479452</v>
      </c>
      <c r="D19" s="32" t="n">
        <f aca="false">0.06*AVERAGE(C15,D15)</f>
        <v>21315.5254794521</v>
      </c>
      <c r="E19" s="32" t="n">
        <f aca="false">0.06*AVERAGE(D15,E15)</f>
        <v>26268.3490520548</v>
      </c>
      <c r="F19" s="32" t="n">
        <f aca="false">0.06*AVERAGE(E15,F15)</f>
        <v>27056.3995236164</v>
      </c>
      <c r="G19" s="32" t="n">
        <f aca="false">0.06*AVERAGE(F15,G15)</f>
        <v>27868.0915093249</v>
      </c>
    </row>
    <row r="21" customFormat="false" ht="15" hidden="false" customHeight="false" outlineLevel="0" collapsed="false">
      <c r="A21" s="3" t="s">
        <v>435</v>
      </c>
      <c r="B21" s="28" t="n">
        <f aca="false">B12</f>
        <v>-269800</v>
      </c>
      <c r="C21" s="28" t="n">
        <f aca="false">C12+C18</f>
        <v>287377.068761564</v>
      </c>
      <c r="D21" s="28" t="n">
        <f aca="false">D12+D18</f>
        <v>227287.295480741</v>
      </c>
      <c r="E21" s="28" t="n">
        <f aca="false">E12+E18</f>
        <v>98249.0363542958</v>
      </c>
      <c r="F21" s="28" t="n">
        <f aca="false">F12+F18</f>
        <v>100433.757444925</v>
      </c>
      <c r="G21" s="28" t="n">
        <f aca="false">G12+G18</f>
        <v>102623.382668272</v>
      </c>
      <c r="H21" s="27" t="n">
        <f aca="false">SUM(B21:G21)</f>
        <v>546170.540709799</v>
      </c>
    </row>
    <row r="22" customFormat="false" ht="15" hidden="false" customHeight="false" outlineLevel="0" collapsed="false">
      <c r="A22" s="7" t="s">
        <v>436</v>
      </c>
      <c r="B22" s="27" t="n">
        <f aca="false">B21</f>
        <v>-269800</v>
      </c>
      <c r="C22" s="27" t="n">
        <f aca="false">B22+C21</f>
        <v>17577.0687615643</v>
      </c>
      <c r="D22" s="27" t="n">
        <f aca="false">C22+D21</f>
        <v>244864.364242305</v>
      </c>
      <c r="E22" s="27" t="n">
        <f aca="false">D22+E21</f>
        <v>343113.400596601</v>
      </c>
      <c r="F22" s="27" t="n">
        <f aca="false">E22+F21</f>
        <v>443547.158041526</v>
      </c>
      <c r="G22" s="27" t="n">
        <f aca="false">F22+G21</f>
        <v>546170.540709799</v>
      </c>
    </row>
    <row r="23" customFormat="false" ht="15" hidden="false" customHeight="false" outlineLevel="0" collapsed="false">
      <c r="A23" s="7" t="s">
        <v>437</v>
      </c>
      <c r="B23" s="31" t="n">
        <f aca="false">1/(1+Assumptions!$C$14)^0</f>
        <v>1</v>
      </c>
      <c r="C23" s="31" t="n">
        <f aca="false">1/(1+Assumptions!$C$14)^1</f>
        <v>0.892857142857143</v>
      </c>
      <c r="D23" s="31" t="n">
        <f aca="false">1/(1+Assumptions!$C$14)^2</f>
        <v>0.79719387755102</v>
      </c>
      <c r="E23" s="31" t="n">
        <f aca="false">1/(1+Assumptions!$C$14)^3</f>
        <v>0.711780247813411</v>
      </c>
      <c r="F23" s="31" t="n">
        <f aca="false">1/(1+Assumptions!$C$14)^4</f>
        <v>0.635518078404831</v>
      </c>
      <c r="G23" s="31" t="n">
        <f aca="false">1/(1+Assumptions!$C$14)^5</f>
        <v>0.567426855718599</v>
      </c>
    </row>
    <row r="24" customFormat="false" ht="15" hidden="false" customHeight="false" outlineLevel="0" collapsed="false">
      <c r="A24" s="7" t="s">
        <v>438</v>
      </c>
      <c r="B24" s="27" t="n">
        <f aca="false">B21*B23</f>
        <v>-269800</v>
      </c>
      <c r="C24" s="27" t="n">
        <f aca="false">C21*C23</f>
        <v>256586.668537111</v>
      </c>
      <c r="D24" s="27" t="n">
        <f aca="false">D21*D23</f>
        <v>181192.040402377</v>
      </c>
      <c r="E24" s="27" t="n">
        <f aca="false">E21*E23</f>
        <v>69931.7234436895</v>
      </c>
      <c r="F24" s="27" t="n">
        <f aca="false">F21*F23</f>
        <v>63827.4685383755</v>
      </c>
      <c r="G24" s="27" t="n">
        <f aca="false">G21*G23</f>
        <v>58231.2633506644</v>
      </c>
      <c r="H24" s="27" t="n">
        <f aca="false">SUM(B24:G24)</f>
        <v>359969.164272217</v>
      </c>
    </row>
    <row r="25" customFormat="false" ht="15" hidden="false" customHeight="false" outlineLevel="0" collapsed="false">
      <c r="A25" s="7" t="s">
        <v>439</v>
      </c>
      <c r="B25" s="27" t="n">
        <f aca="false">B24</f>
        <v>-269800</v>
      </c>
      <c r="C25" s="27" t="n">
        <f aca="false">B25+C24</f>
        <v>-13213.3314628891</v>
      </c>
      <c r="D25" s="27" t="n">
        <f aca="false">C25+D24</f>
        <v>167978.708939488</v>
      </c>
      <c r="E25" s="27" t="n">
        <f aca="false">D25+E24</f>
        <v>237910.432383177</v>
      </c>
      <c r="F25" s="27" t="n">
        <f aca="false">E25+F24</f>
        <v>301737.900921553</v>
      </c>
      <c r="G25" s="27" t="n">
        <f aca="false">F25+G24</f>
        <v>359969.164272217</v>
      </c>
    </row>
    <row r="26" customFormat="false" ht="15" hidden="false" customHeight="false" outlineLevel="0" collapsed="false">
      <c r="A26" s="3" t="s">
        <v>440</v>
      </c>
      <c r="B26" s="27" t="n">
        <f aca="false">B12</f>
        <v>-269800</v>
      </c>
      <c r="C26" s="27" t="n">
        <f aca="false">C12</f>
        <v>22154.4203597378</v>
      </c>
      <c r="D26" s="27" t="n">
        <f aca="false">D12</f>
        <v>82740.9521017458</v>
      </c>
      <c r="E26" s="27" t="n">
        <f aca="false">E12</f>
        <v>85955.9666008712</v>
      </c>
      <c r="F26" s="27" t="n">
        <f aca="false">F12</f>
        <v>87771.8955988973</v>
      </c>
      <c r="G26" s="27" t="n">
        <f aca="false">G12</f>
        <v>89581.6649668643</v>
      </c>
      <c r="H26" s="27" t="n">
        <f aca="false">SUM(B26:G26)</f>
        <v>98404.8996281164</v>
      </c>
    </row>
    <row r="27" customFormat="false" ht="15" hidden="false" customHeight="false" outlineLevel="0" collapsed="false">
      <c r="A27" s="7" t="s">
        <v>441</v>
      </c>
      <c r="B27" s="27" t="n">
        <f aca="false">B26</f>
        <v>-269800</v>
      </c>
      <c r="C27" s="27" t="n">
        <f aca="false">B27+C26</f>
        <v>-247645.579640262</v>
      </c>
      <c r="D27" s="27" t="n">
        <f aca="false">C27+D26</f>
        <v>-164904.627538516</v>
      </c>
      <c r="E27" s="27" t="n">
        <f aca="false">D27+E26</f>
        <v>-78948.6609376452</v>
      </c>
      <c r="F27" s="27" t="n">
        <f aca="false">E27+F26</f>
        <v>8823.23466125212</v>
      </c>
      <c r="G27" s="27" t="n">
        <f aca="false">F27+G26</f>
        <v>98404.8996281164</v>
      </c>
    </row>
    <row r="28" customFormat="false" ht="15" hidden="false" customHeight="false" outlineLevel="0" collapsed="false">
      <c r="A28" s="7" t="s">
        <v>442</v>
      </c>
      <c r="B28" s="27" t="n">
        <f aca="false">B26*B23</f>
        <v>-269800</v>
      </c>
      <c r="C28" s="27" t="n">
        <f aca="false">C26*C23</f>
        <v>19780.7324640516</v>
      </c>
      <c r="D28" s="27" t="n">
        <f aca="false">D26*D23</f>
        <v>65960.580438254</v>
      </c>
      <c r="E28" s="27" t="n">
        <f aca="false">E26*E23</f>
        <v>61181.7592082094</v>
      </c>
      <c r="F28" s="27" t="n">
        <f aca="false">F26*F23</f>
        <v>55780.6264289607</v>
      </c>
      <c r="G28" s="27" t="n">
        <f aca="false">G26*G23</f>
        <v>50831.0424821848</v>
      </c>
      <c r="H28" s="27" t="n">
        <f aca="false">SUM(B28:G28)</f>
        <v>-16265.2589783396</v>
      </c>
    </row>
    <row r="30" customFormat="false" ht="15" hidden="false" customHeight="false" outlineLevel="0" collapsed="false">
      <c r="A30" s="3" t="s">
        <v>443</v>
      </c>
    </row>
    <row r="31" customFormat="false" ht="15" hidden="false" customHeight="false" outlineLevel="0" collapsed="false">
      <c r="A31" s="7" t="s">
        <v>444</v>
      </c>
      <c r="B31" s="28" t="n">
        <f aca="false">SUM(B24:G24)</f>
        <v>359969.164272217</v>
      </c>
    </row>
    <row r="32" customFormat="false" ht="15" hidden="false" customHeight="false" outlineLevel="0" collapsed="false">
      <c r="A32" s="7" t="s">
        <v>445</v>
      </c>
      <c r="B32" s="28" t="n">
        <f aca="false">SUM(B28:G28)</f>
        <v>-16265.2589783396</v>
      </c>
    </row>
    <row r="33" customFormat="false" ht="15" hidden="false" customHeight="false" outlineLevel="0" collapsed="false">
      <c r="A33" s="7" t="s">
        <v>31</v>
      </c>
      <c r="B33" s="29" t="n">
        <f aca="false">IFERROR(IRR(B21:G21,0.1),"n/a")</f>
        <v>0.765770323842324</v>
      </c>
    </row>
    <row r="34" customFormat="false" ht="15" hidden="false" customHeight="false" outlineLevel="0" collapsed="false">
      <c r="A34" s="7" t="s">
        <v>446</v>
      </c>
      <c r="B34" s="29" t="n">
        <f aca="false">IFERROR(IRR(B26:G26,0.1),"n/a")</f>
        <v>0.0985781389987436</v>
      </c>
    </row>
    <row r="35" customFormat="false" ht="15" hidden="false" customHeight="false" outlineLevel="0" collapsed="false">
      <c r="A35" s="7" t="s">
        <v>447</v>
      </c>
      <c r="B35" s="29" t="n">
        <f aca="false">(SUM(C21:G21)+B21)/-B21</f>
        <v>2.02435337549962</v>
      </c>
    </row>
    <row r="36" customFormat="false" ht="15" hidden="false" customHeight="false" outlineLevel="0" collapsed="false">
      <c r="A36" s="7" t="s">
        <v>35</v>
      </c>
      <c r="B36" s="29" t="n">
        <f aca="false">(SUM(C26:G26)+B26)/-B26</f>
        <v>0.364732763632752</v>
      </c>
    </row>
    <row r="37" customFormat="false" ht="15" hidden="false" customHeight="false" outlineLevel="0" collapsed="false">
      <c r="A37" s="7" t="s">
        <v>36</v>
      </c>
      <c r="B37" s="33" t="n">
        <f aca="false">IF(IF(AND(C22&gt;=0,B22&lt;0),(1-1+(-B22)/C21)*12,0)+IF(AND(D22&gt;=0,C22&lt;0),(2-1+(-C22)/D21)*12,0)+IF(AND(E22&gt;=0,D22&lt;0),(3-1+(-D22)/E21)*12,0)+IF(AND(F22&gt;=0,E22&lt;0),(4-1+(-E22)/F21)*12,0)+IF(AND(G22&gt;=0,F22&lt;0),(5-1+(-F22)/G21)*12,0)=0,IF(G22&gt;=0,0,"not within 5 yrs"),IF(AND(C22&gt;=0,B22&lt;0),(1-1+(-B22)/C21)*12,0)+IF(AND(D22&gt;=0,C22&lt;0),(2-1+(-C22)/D21)*12,0)+IF(AND(E22&gt;=0,D22&lt;0),(3-1+(-D22)/E21)*12,0)+IF(AND(F22&gt;=0,E22&lt;0),(4-1+(-E22)/F21)*12,0)+IF(AND(G22&gt;=0,F22&lt;0),(5-1+(-F22)/G21)*12,0))</f>
        <v>11.266034600298</v>
      </c>
    </row>
    <row r="38" customFormat="false" ht="15" hidden="false" customHeight="false" outlineLevel="0" collapsed="false">
      <c r="A38" s="7" t="s">
        <v>38</v>
      </c>
      <c r="B38" s="33" t="n">
        <f aca="false">IF(IF(AND(C25&gt;=0,B25&lt;0),(1-1+(-B25)/C24)*12,0)+IF(AND(D25&gt;=0,C25&lt;0),(2-1+(-C25)/D24)*12,0)+IF(AND(E25&gt;=0,D25&lt;0),(3-1+(-D25)/E24)*12,0)+IF(AND(F25&gt;=0,E25&lt;0),(4-1+(-E25)/F24)*12,0)+IF(AND(G25&gt;=0,F25&lt;0),(5-1+(-F25)/G24)*12,0)=0,IF(G25&gt;=0,0,"not within 5 yrs"),IF(AND(C25&gt;=0,B25&lt;0),(1-1+(-B25)/C24)*12,0)+IF(AND(D25&gt;=0,C25&lt;0),(2-1+(-C25)/D24)*12,0)+IF(AND(E25&gt;=0,D25&lt;0),(3-1+(-D25)/E24)*12,0)+IF(AND(F25&gt;=0,E25&lt;0),(4-1+(-E25)/F24)*12,0)+IF(AND(G25&gt;=0,F25&lt;0),(5-1+(-F25)/G24)*12,0))</f>
        <v>12.8750935041217</v>
      </c>
    </row>
    <row r="39" customFormat="false" ht="15" hidden="false" customHeight="false" outlineLevel="0" collapsed="false">
      <c r="A39" s="7" t="s">
        <v>448</v>
      </c>
      <c r="B39" s="33" t="n">
        <f aca="false">IF(IF(AND(C27&gt;=0,B27&lt;0),(1-1+(-B27)/C26)*12,0)+IF(AND(D27&gt;=0,C27&lt;0),(2-1+(-C27)/D26)*12,0)+IF(AND(E27&gt;=0,D27&lt;0),(3-1+(-D27)/E26)*12,0)+IF(AND(F27&gt;=0,E27&lt;0),(4-1+(-E27)/F26)*12,0)+IF(AND(G27&gt;=0,F27&lt;0),(5-1+(-F27)/G26)*12,0)=0,IF(G27&gt;=0,0,"not within 5 yrs"),IF(AND(C27&gt;=0,B27&lt;0),(1-1+(-B27)/C26)*12,0)+IF(AND(D27&gt;=0,C27&lt;0),(2-1+(-C27)/D26)*12,0)+IF(AND(E27&gt;=0,D27&lt;0),(3-1+(-D27)/E26)*12,0)+IF(AND(F27&gt;=0,E27&lt;0),(4-1+(-E27)/F26)*12,0)+IF(AND(G27&gt;=0,F27&lt;0),(5-1+(-F27)/G26)*12,0))</f>
        <v>46.7937048047945</v>
      </c>
    </row>
    <row r="40" customFormat="false" ht="15" hidden="false" customHeight="false" outlineLevel="0" collapsed="false">
      <c r="A40" s="7" t="s">
        <v>449</v>
      </c>
      <c r="B40" s="28" t="n">
        <f aca="false">MIN(B22:G22)</f>
        <v>-269800</v>
      </c>
    </row>
    <row r="43" customFormat="false" ht="15" hidden="false" customHeight="false" outlineLevel="0" collapsed="false">
      <c r="A43" s="3" t="s">
        <v>450</v>
      </c>
    </row>
    <row r="44" customFormat="false" ht="15" hidden="false" customHeight="false" outlineLevel="0" collapsed="false">
      <c r="A44" s="6" t="s">
        <v>419</v>
      </c>
      <c r="B44" s="6" t="s">
        <v>420</v>
      </c>
      <c r="C44" s="6" t="s">
        <v>397</v>
      </c>
      <c r="D44" s="6" t="s">
        <v>398</v>
      </c>
      <c r="E44" s="6" t="s">
        <v>399</v>
      </c>
      <c r="F44" s="6" t="s">
        <v>400</v>
      </c>
      <c r="G44" s="6" t="s">
        <v>401</v>
      </c>
      <c r="H44" s="6" t="s">
        <v>421</v>
      </c>
    </row>
    <row r="45" customFormat="false" ht="15" hidden="false" customHeight="false" outlineLevel="0" collapsed="false">
      <c r="A45" s="7" t="s">
        <v>422</v>
      </c>
      <c r="B45" s="8" t="n">
        <f aca="false">Assumptions!$D$67*(1+Assumptions!$C$7*Assumptions!$D$68)</f>
        <v>943000</v>
      </c>
    </row>
    <row r="46" customFormat="false" ht="15" hidden="false" customHeight="false" outlineLevel="0" collapsed="false">
      <c r="A46" s="7" t="s">
        <v>423</v>
      </c>
      <c r="B46" s="8" t="n">
        <f aca="false">Assumptions!$D$69+Assumptions!$D$70+Assumptions!$D$71</f>
        <v>250000</v>
      </c>
    </row>
    <row r="47" customFormat="false" ht="15" hidden="false" customHeight="false" outlineLevel="0" collapsed="false">
      <c r="A47" s="3" t="s">
        <v>424</v>
      </c>
      <c r="B47" s="28" t="n">
        <f aca="false">-(B45+B46)</f>
        <v>-1193000</v>
      </c>
    </row>
    <row r="48" customFormat="false" ht="15" hidden="false" customHeight="false" outlineLevel="0" collapsed="false">
      <c r="A48" s="7" t="s">
        <v>425</v>
      </c>
      <c r="C48" s="8" t="n">
        <f aca="false">Benefits!D31</f>
        <v>4967.95265094865</v>
      </c>
      <c r="D48" s="8" t="n">
        <f aca="false">Benefits!E31</f>
        <v>343102.493141365</v>
      </c>
      <c r="E48" s="8" t="n">
        <f aca="false">Benefits!F31</f>
        <v>483335.15051663</v>
      </c>
      <c r="F48" s="8" t="n">
        <f aca="false">Benefits!G31</f>
        <v>497835.205032129</v>
      </c>
      <c r="G48" s="8" t="n">
        <f aca="false">Benefits!H31</f>
        <v>512770.261183093</v>
      </c>
      <c r="H48" s="27" t="n">
        <f aca="false">SUM(B48:G48)</f>
        <v>1842011.06252416</v>
      </c>
    </row>
    <row r="49" customFormat="false" ht="15" hidden="false" customHeight="false" outlineLevel="0" collapsed="false">
      <c r="A49" s="7" t="s">
        <v>426</v>
      </c>
      <c r="C49" s="27" t="n">
        <f aca="false">-Assumptions!$D$72*(1+Assumptions!$C$11)^0*(13-Assumptions!$D$78)/12</f>
        <v>-175000</v>
      </c>
      <c r="D49" s="27" t="n">
        <f aca="false">-Assumptions!$D$72*(1+Assumptions!$C$11)^1*1</f>
        <v>-220500</v>
      </c>
      <c r="E49" s="27" t="n">
        <f aca="false">-Assumptions!$D$72*(1+Assumptions!$C$11)^2*1</f>
        <v>-231525</v>
      </c>
      <c r="F49" s="27" t="n">
        <f aca="false">-Assumptions!$D$72*(1+Assumptions!$C$11)^3*1</f>
        <v>-243101.25</v>
      </c>
      <c r="G49" s="27" t="n">
        <f aca="false">-Assumptions!$D$72*(1+Assumptions!$C$11)^4*1</f>
        <v>-255256.3125</v>
      </c>
      <c r="H49" s="27" t="n">
        <f aca="false">SUM(B49:G49)</f>
        <v>-1125382.5625</v>
      </c>
    </row>
    <row r="50" customFormat="false" ht="15" hidden="false" customHeight="false" outlineLevel="0" collapsed="false">
      <c r="A50" s="7" t="s">
        <v>427</v>
      </c>
      <c r="C50" s="27" t="n">
        <f aca="false">-(Assumptions!$D$73+Assumptions!$D$74)*(13-Assumptions!$D$79)/12</f>
        <v>-41666.6666666667</v>
      </c>
      <c r="D50" s="27" t="n">
        <f aca="false">-(Assumptions!$D$73+Assumptions!$D$74)*1</f>
        <v>-100000</v>
      </c>
      <c r="E50" s="27" t="n">
        <f aca="false">-(Assumptions!$D$73+Assumptions!$D$74)*1</f>
        <v>-100000</v>
      </c>
      <c r="F50" s="27" t="n">
        <f aca="false">-(Assumptions!$D$73+Assumptions!$D$74)*1</f>
        <v>-100000</v>
      </c>
      <c r="G50" s="27" t="n">
        <f aca="false">-(Assumptions!$D$73+Assumptions!$D$74)*1</f>
        <v>-100000</v>
      </c>
      <c r="H50" s="27" t="n">
        <f aca="false">SUM(B50:G50)</f>
        <v>-441666.666666667</v>
      </c>
    </row>
    <row r="51" customFormat="false" ht="15" hidden="false" customHeight="false" outlineLevel="0" collapsed="false">
      <c r="A51" s="3" t="s">
        <v>428</v>
      </c>
      <c r="B51" s="28" t="n">
        <f aca="false">B47</f>
        <v>-1193000</v>
      </c>
      <c r="C51" s="28" t="n">
        <f aca="false">SUM(C48:C50)</f>
        <v>-211698.714015718</v>
      </c>
      <c r="D51" s="28" t="n">
        <f aca="false">SUM(D48:D50)</f>
        <v>22602.493141365</v>
      </c>
      <c r="E51" s="28" t="n">
        <f aca="false">SUM(E48:E50)</f>
        <v>151810.15051663</v>
      </c>
      <c r="F51" s="28" t="n">
        <f aca="false">SUM(F48:F50)</f>
        <v>154733.955032129</v>
      </c>
      <c r="G51" s="28" t="n">
        <f aca="false">SUM(G48:G50)</f>
        <v>157513.948683092</v>
      </c>
      <c r="H51" s="27" t="n">
        <f aca="false">SUM(B51:G51)</f>
        <v>-918038.166642502</v>
      </c>
    </row>
    <row r="53" customFormat="false" ht="15" hidden="false" customHeight="false" outlineLevel="0" collapsed="false">
      <c r="A53" s="7" t="s">
        <v>429</v>
      </c>
      <c r="C53" s="16" t="n">
        <f aca="false">Assumptions!$C$10*(Assumptions!$C$30-IF(Assumptions!$C$4=4,Assumptions!$D$86,Assumptions!$D$66))*Ramp!$BT$10</f>
        <v>0.916666666666667</v>
      </c>
      <c r="D53" s="16" t="n">
        <f aca="false">Assumptions!$C$10*(Assumptions!$C$30-IF(Assumptions!$C$4=4,Assumptions!$D$86,Assumptions!$D$66))*Ramp!$BU$10</f>
        <v>11</v>
      </c>
      <c r="E53" s="16" t="n">
        <f aca="false">Assumptions!$C$10*(Assumptions!$C$30-IF(Assumptions!$C$4=4,Assumptions!$D$86,Assumptions!$D$66))*Ramp!$BV$10</f>
        <v>11</v>
      </c>
      <c r="F53" s="16" t="n">
        <f aca="false">Assumptions!$C$10*(Assumptions!$C$30-IF(Assumptions!$C$4=4,Assumptions!$D$86,Assumptions!$D$66))*Ramp!$BW$10</f>
        <v>11</v>
      </c>
      <c r="G53" s="16" t="n">
        <f aca="false">Assumptions!$C$10*(Assumptions!$C$30-IF(Assumptions!$C$4=4,Assumptions!$D$86,Assumptions!$D$66))*Ramp!$BX$10</f>
        <v>11</v>
      </c>
    </row>
    <row r="54" customFormat="false" ht="15" hidden="false" customHeight="false" outlineLevel="0" collapsed="false">
      <c r="A54" s="7" t="s">
        <v>430</v>
      </c>
      <c r="B54" s="27" t="n">
        <v>0</v>
      </c>
      <c r="C54" s="27" t="n">
        <f aca="false">C53*Baseline_Diagnostic!$C$40*Benefits!D$5</f>
        <v>95968.7214611872</v>
      </c>
      <c r="D54" s="27" t="n">
        <f aca="false">D53*Baseline_Diagnostic!$C$40*Benefits!E$5</f>
        <v>1186173.39726027</v>
      </c>
      <c r="E54" s="27" t="n">
        <f aca="false">E53*Baseline_Diagnostic!$C$40*Benefits!F$5</f>
        <v>1221758.59917808</v>
      </c>
      <c r="F54" s="27" t="n">
        <f aca="false">F53*Baseline_Diagnostic!$C$40*Benefits!G$5</f>
        <v>1258411.35715342</v>
      </c>
      <c r="G54" s="27" t="n">
        <f aca="false">G53*Baseline_Diagnostic!$C$40*Benefits!H$5</f>
        <v>1296163.69786803</v>
      </c>
    </row>
    <row r="55" customFormat="false" ht="15" hidden="false" customHeight="false" outlineLevel="0" collapsed="false">
      <c r="A55" s="7" t="s">
        <v>431</v>
      </c>
      <c r="C55" s="27" t="n">
        <f aca="false">C54-B54</f>
        <v>95968.7214611872</v>
      </c>
      <c r="D55" s="27" t="n">
        <f aca="false">D54-C54</f>
        <v>1090204.67579909</v>
      </c>
      <c r="E55" s="27" t="n">
        <f aca="false">E54-D54</f>
        <v>35585.2019178083</v>
      </c>
      <c r="F55" s="27" t="n">
        <f aca="false">F54-E54</f>
        <v>36652.7579753427</v>
      </c>
      <c r="G55" s="27" t="n">
        <f aca="false">G54-F54</f>
        <v>37752.3407146027</v>
      </c>
      <c r="H55" s="27" t="n">
        <f aca="false">SUM(B55:G55)</f>
        <v>1296163.69786803</v>
      </c>
    </row>
    <row r="56" customFormat="false" ht="15" hidden="false" customHeight="false" outlineLevel="0" collapsed="false">
      <c r="A56" s="7" t="s">
        <v>432</v>
      </c>
      <c r="C56" s="27" t="n">
        <f aca="false">-MAX(0,C55)*Assumptions!$C$32</f>
        <v>-4798.43607305936</v>
      </c>
      <c r="D56" s="27" t="n">
        <f aca="false">-MAX(0,D55)*Assumptions!$C$32</f>
        <v>-54510.2337899543</v>
      </c>
      <c r="E56" s="27" t="n">
        <f aca="false">-MAX(0,E55)*Assumptions!$C$32</f>
        <v>-1779.26009589041</v>
      </c>
      <c r="F56" s="27" t="n">
        <f aca="false">-MAX(0,F55)*Assumptions!$C$32</f>
        <v>-1832.63789876713</v>
      </c>
      <c r="G56" s="27" t="n">
        <f aca="false">-MAX(0,G55)*Assumptions!$C$32</f>
        <v>-1887.61703573014</v>
      </c>
      <c r="H56" s="27" t="n">
        <f aca="false">SUM(B56:G56)</f>
        <v>-64808.1848934014</v>
      </c>
    </row>
    <row r="57" customFormat="false" ht="15" hidden="false" customHeight="false" outlineLevel="0" collapsed="false">
      <c r="A57" s="3" t="s">
        <v>433</v>
      </c>
      <c r="C57" s="28" t="n">
        <f aca="false">C55+C56</f>
        <v>91170.2853881278</v>
      </c>
      <c r="D57" s="28" t="n">
        <f aca="false">D55+D56</f>
        <v>1035694.44200913</v>
      </c>
      <c r="E57" s="28" t="n">
        <f aca="false">E55+E56</f>
        <v>33805.9418219179</v>
      </c>
      <c r="F57" s="28" t="n">
        <f aca="false">F55+F56</f>
        <v>34820.1200765756</v>
      </c>
      <c r="G57" s="28" t="n">
        <f aca="false">G55+G56</f>
        <v>35864.7236788726</v>
      </c>
      <c r="H57" s="27" t="n">
        <f aca="false">SUM(B57:G57)</f>
        <v>1231355.51297463</v>
      </c>
    </row>
    <row r="58" customFormat="false" ht="15" hidden="false" customHeight="false" outlineLevel="0" collapsed="false">
      <c r="A58" s="7" t="s">
        <v>434</v>
      </c>
      <c r="C58" s="32" t="n">
        <f aca="false">0.06*AVERAGE(B54,C54)</f>
        <v>2879.06164383562</v>
      </c>
      <c r="D58" s="32" t="n">
        <f aca="false">0.06*AVERAGE(C54,D54)</f>
        <v>38464.2635616438</v>
      </c>
      <c r="E58" s="32" t="n">
        <f aca="false">0.06*AVERAGE(D54,E54)</f>
        <v>72237.9598931507</v>
      </c>
      <c r="F58" s="32" t="n">
        <f aca="false">0.06*AVERAGE(E54,F54)</f>
        <v>74405.0986899452</v>
      </c>
      <c r="G58" s="32" t="n">
        <f aca="false">0.06*AVERAGE(F54,G54)</f>
        <v>76637.2516506436</v>
      </c>
    </row>
    <row r="60" customFormat="false" ht="15" hidden="false" customHeight="false" outlineLevel="0" collapsed="false">
      <c r="A60" s="3" t="s">
        <v>435</v>
      </c>
      <c r="B60" s="28" t="n">
        <f aca="false">B51</f>
        <v>-1193000</v>
      </c>
      <c r="C60" s="28" t="n">
        <f aca="false">C51+C57</f>
        <v>-120528.42862759</v>
      </c>
      <c r="D60" s="28" t="n">
        <f aca="false">D51+D57</f>
        <v>1058296.9351505</v>
      </c>
      <c r="E60" s="28" t="n">
        <f aca="false">E51+E57</f>
        <v>185616.092338548</v>
      </c>
      <c r="F60" s="28" t="n">
        <f aca="false">F51+F57</f>
        <v>189554.075108704</v>
      </c>
      <c r="G60" s="28" t="n">
        <f aca="false">G51+G57</f>
        <v>193378.672361965</v>
      </c>
      <c r="H60" s="27" t="n">
        <f aca="false">SUM(B60:G60)</f>
        <v>313317.346332124</v>
      </c>
    </row>
    <row r="61" customFormat="false" ht="15" hidden="false" customHeight="false" outlineLevel="0" collapsed="false">
      <c r="A61" s="7" t="s">
        <v>436</v>
      </c>
      <c r="B61" s="27" t="n">
        <f aca="false">B60</f>
        <v>-1193000</v>
      </c>
      <c r="C61" s="27" t="n">
        <f aca="false">B61+C60</f>
        <v>-1313528.42862759</v>
      </c>
      <c r="D61" s="27" t="n">
        <f aca="false">C61+D60</f>
        <v>-255231.493477093</v>
      </c>
      <c r="E61" s="27" t="n">
        <f aca="false">D61+E60</f>
        <v>-69615.4011385453</v>
      </c>
      <c r="F61" s="27" t="n">
        <f aca="false">E61+F60</f>
        <v>119938.673970159</v>
      </c>
      <c r="G61" s="27" t="n">
        <f aca="false">F61+G60</f>
        <v>313317.346332124</v>
      </c>
    </row>
    <row r="62" customFormat="false" ht="15" hidden="false" customHeight="false" outlineLevel="0" collapsed="false">
      <c r="A62" s="7" t="s">
        <v>437</v>
      </c>
      <c r="B62" s="31" t="n">
        <f aca="false">1/(1+Assumptions!$C$14)^0</f>
        <v>1</v>
      </c>
      <c r="C62" s="31" t="n">
        <f aca="false">1/(1+Assumptions!$C$14)^1</f>
        <v>0.892857142857143</v>
      </c>
      <c r="D62" s="31" t="n">
        <f aca="false">1/(1+Assumptions!$C$14)^2</f>
        <v>0.79719387755102</v>
      </c>
      <c r="E62" s="31" t="n">
        <f aca="false">1/(1+Assumptions!$C$14)^3</f>
        <v>0.711780247813411</v>
      </c>
      <c r="F62" s="31" t="n">
        <f aca="false">1/(1+Assumptions!$C$14)^4</f>
        <v>0.635518078404831</v>
      </c>
      <c r="G62" s="31" t="n">
        <f aca="false">1/(1+Assumptions!$C$14)^5</f>
        <v>0.567426855718599</v>
      </c>
    </row>
    <row r="63" customFormat="false" ht="15" hidden="false" customHeight="false" outlineLevel="0" collapsed="false">
      <c r="A63" s="7" t="s">
        <v>438</v>
      </c>
      <c r="B63" s="27" t="n">
        <f aca="false">B60*B62</f>
        <v>-1193000</v>
      </c>
      <c r="C63" s="27" t="n">
        <f aca="false">C60*C62</f>
        <v>-107614.668417491</v>
      </c>
      <c r="D63" s="27" t="n">
        <f aca="false">D60*D62</f>
        <v>843667.837332986</v>
      </c>
      <c r="E63" s="27" t="n">
        <f aca="false">E60*E62</f>
        <v>132117.868202888</v>
      </c>
      <c r="F63" s="27" t="n">
        <f aca="false">F60*F62</f>
        <v>120465.041566889</v>
      </c>
      <c r="G63" s="27" t="n">
        <f aca="false">G60*G62</f>
        <v>109728.252021387</v>
      </c>
      <c r="H63" s="27" t="n">
        <f aca="false">SUM(B63:G63)</f>
        <v>-94635.6692933415</v>
      </c>
    </row>
    <row r="64" customFormat="false" ht="15" hidden="false" customHeight="false" outlineLevel="0" collapsed="false">
      <c r="A64" s="7" t="s">
        <v>439</v>
      </c>
      <c r="B64" s="27" t="n">
        <f aca="false">B63</f>
        <v>-1193000</v>
      </c>
      <c r="C64" s="27" t="n">
        <f aca="false">B64+C63</f>
        <v>-1300614.66841749</v>
      </c>
      <c r="D64" s="27" t="n">
        <f aca="false">C64+D63</f>
        <v>-456946.831084506</v>
      </c>
      <c r="E64" s="27" t="n">
        <f aca="false">D64+E63</f>
        <v>-324828.962881617</v>
      </c>
      <c r="F64" s="27" t="n">
        <f aca="false">E64+F63</f>
        <v>-204363.921314729</v>
      </c>
      <c r="G64" s="27" t="n">
        <f aca="false">F64+G63</f>
        <v>-94635.6692933416</v>
      </c>
    </row>
    <row r="65" customFormat="false" ht="15" hidden="false" customHeight="false" outlineLevel="0" collapsed="false">
      <c r="A65" s="3" t="s">
        <v>440</v>
      </c>
      <c r="B65" s="27" t="n">
        <f aca="false">B51</f>
        <v>-1193000</v>
      </c>
      <c r="C65" s="27" t="n">
        <f aca="false">C51</f>
        <v>-211698.714015718</v>
      </c>
      <c r="D65" s="27" t="n">
        <f aca="false">D51</f>
        <v>22602.493141365</v>
      </c>
      <c r="E65" s="27" t="n">
        <f aca="false">E51</f>
        <v>151810.15051663</v>
      </c>
      <c r="F65" s="27" t="n">
        <f aca="false">F51</f>
        <v>154733.955032129</v>
      </c>
      <c r="G65" s="27" t="n">
        <f aca="false">G51</f>
        <v>157513.948683092</v>
      </c>
      <c r="H65" s="27" t="n">
        <f aca="false">SUM(B65:G65)</f>
        <v>-918038.166642502</v>
      </c>
    </row>
    <row r="66" customFormat="false" ht="15" hidden="false" customHeight="false" outlineLevel="0" collapsed="false">
      <c r="A66" s="7" t="s">
        <v>441</v>
      </c>
      <c r="B66" s="27" t="n">
        <f aca="false">B65</f>
        <v>-1193000</v>
      </c>
      <c r="C66" s="27" t="n">
        <f aca="false">B66+C65</f>
        <v>-1404698.71401572</v>
      </c>
      <c r="D66" s="27" t="n">
        <f aca="false">C66+D65</f>
        <v>-1382096.22087435</v>
      </c>
      <c r="E66" s="27" t="n">
        <f aca="false">D66+E65</f>
        <v>-1230286.07035772</v>
      </c>
      <c r="F66" s="27" t="n">
        <f aca="false">E66+F65</f>
        <v>-1075552.11532559</v>
      </c>
      <c r="G66" s="27" t="n">
        <f aca="false">F66+G65</f>
        <v>-918038.166642502</v>
      </c>
    </row>
    <row r="67" customFormat="false" ht="15" hidden="false" customHeight="false" outlineLevel="0" collapsed="false">
      <c r="A67" s="7" t="s">
        <v>442</v>
      </c>
      <c r="B67" s="27" t="n">
        <f aca="false">B65*B62</f>
        <v>-1193000</v>
      </c>
      <c r="C67" s="27" t="n">
        <f aca="false">C65*C62</f>
        <v>-189016.708942605</v>
      </c>
      <c r="D67" s="27" t="n">
        <f aca="false">D65*D62</f>
        <v>18018.5691496851</v>
      </c>
      <c r="E67" s="27" t="n">
        <f aca="false">E65*E62</f>
        <v>108055.466555318</v>
      </c>
      <c r="F67" s="27" t="n">
        <f aca="false">F65*F62</f>
        <v>98336.2257659979</v>
      </c>
      <c r="G67" s="27" t="n">
        <f aca="false">G65*G62</f>
        <v>89377.6446330679</v>
      </c>
      <c r="H67" s="27" t="n">
        <f aca="false">SUM(B67:G67)</f>
        <v>-1068228.80283854</v>
      </c>
    </row>
    <row r="69" customFormat="false" ht="15" hidden="false" customHeight="false" outlineLevel="0" collapsed="false">
      <c r="A69" s="3" t="s">
        <v>443</v>
      </c>
    </row>
    <row r="70" customFormat="false" ht="15" hidden="false" customHeight="false" outlineLevel="0" collapsed="false">
      <c r="A70" s="7" t="s">
        <v>444</v>
      </c>
      <c r="B70" s="28" t="n">
        <f aca="false">SUM(B63:G63)</f>
        <v>-94635.6692933415</v>
      </c>
    </row>
    <row r="71" customFormat="false" ht="15" hidden="false" customHeight="false" outlineLevel="0" collapsed="false">
      <c r="A71" s="7" t="s">
        <v>445</v>
      </c>
      <c r="B71" s="28" t="n">
        <f aca="false">SUM(B67:G67)</f>
        <v>-1068228.80283854</v>
      </c>
    </row>
    <row r="72" customFormat="false" ht="15" hidden="false" customHeight="false" outlineLevel="0" collapsed="false">
      <c r="A72" s="7" t="s">
        <v>31</v>
      </c>
      <c r="B72" s="29" t="n">
        <f aca="false">IFERROR(IRR(B60:G60,0.1),"n/a")</f>
        <v>0.0868380787793797</v>
      </c>
    </row>
    <row r="73" customFormat="false" ht="15" hidden="false" customHeight="false" outlineLevel="0" collapsed="false">
      <c r="A73" s="7" t="s">
        <v>446</v>
      </c>
      <c r="B73" s="29" t="n">
        <f aca="false">IFERROR(IRR(B65:G65,0.1),"n/a")</f>
        <v>-0.240204667677099</v>
      </c>
    </row>
    <row r="74" customFormat="false" ht="15" hidden="false" customHeight="false" outlineLevel="0" collapsed="false">
      <c r="A74" s="7" t="s">
        <v>447</v>
      </c>
      <c r="B74" s="29" t="n">
        <f aca="false">(SUM(C60:G60)+B60)/-B60</f>
        <v>0.26262979575199</v>
      </c>
    </row>
    <row r="75" customFormat="false" ht="15" hidden="false" customHeight="false" outlineLevel="0" collapsed="false">
      <c r="A75" s="7" t="s">
        <v>35</v>
      </c>
      <c r="B75" s="29" t="n">
        <f aca="false">(SUM(C65:G65)+B65)/-B65</f>
        <v>-0.769520676146272</v>
      </c>
    </row>
    <row r="76" customFormat="false" ht="15" hidden="false" customHeight="false" outlineLevel="0" collapsed="false">
      <c r="A76" s="7" t="s">
        <v>36</v>
      </c>
      <c r="B76" s="33" t="n">
        <f aca="false">IF(IF(AND(C61&gt;=0,B61&lt;0),(1-1+(-B61)/C60)*12,0)+IF(AND(D61&gt;=0,C61&lt;0),(2-1+(-C61)/D60)*12,0)+IF(AND(E61&gt;=0,D61&lt;0),(3-1+(-D61)/E60)*12,0)+IF(AND(F61&gt;=0,E61&lt;0),(4-1+(-E61)/F60)*12,0)+IF(AND(G61&gt;=0,F61&lt;0),(5-1+(-F61)/G60)*12,0)=0,IF(G61&gt;=0,0,"not within 5 yrs"),IF(AND(C61&gt;=0,B61&lt;0),(1-1+(-B61)/C60)*12,0)+IF(AND(D61&gt;=0,C61&lt;0),(2-1+(-C61)/D60)*12,0)+IF(AND(E61&gt;=0,D61&lt;0),(3-1+(-D61)/E60)*12,0)+IF(AND(F61&gt;=0,E61&lt;0),(4-1+(-E61)/F60)*12,0)+IF(AND(G61&gt;=0,F61&lt;0),(5-1+(-F61)/G60)*12,0))</f>
        <v>40.4071055353649</v>
      </c>
    </row>
    <row r="77" customFormat="false" ht="15" hidden="false" customHeight="false" outlineLevel="0" collapsed="false">
      <c r="A77" s="7" t="s">
        <v>38</v>
      </c>
      <c r="B77" s="33" t="str">
        <f aca="false">IF(IF(AND(C64&gt;=0,B64&lt;0),(1-1+(-B64)/C63)*12,0)+IF(AND(D64&gt;=0,C64&lt;0),(2-1+(-C64)/D63)*12,0)+IF(AND(E64&gt;=0,D64&lt;0),(3-1+(-D64)/E63)*12,0)+IF(AND(F64&gt;=0,E64&lt;0),(4-1+(-E64)/F63)*12,0)+IF(AND(G64&gt;=0,F64&lt;0),(5-1+(-F64)/G63)*12,0)=0,IF(G64&gt;=0,0,"not within 5 yrs"),IF(AND(C64&gt;=0,B64&lt;0),(1-1+(-B64)/C63)*12,0)+IF(AND(D64&gt;=0,C64&lt;0),(2-1+(-C64)/D63)*12,0)+IF(AND(E64&gt;=0,D64&lt;0),(3-1+(-D64)/E63)*12,0)+IF(AND(F64&gt;=0,E64&lt;0),(4-1+(-E64)/F63)*12,0)+IF(AND(G64&gt;=0,F64&lt;0),(5-1+(-F64)/G63)*12,0))</f>
        <v>not within 5 yrs</v>
      </c>
    </row>
    <row r="78" customFormat="false" ht="15" hidden="false" customHeight="false" outlineLevel="0" collapsed="false">
      <c r="A78" s="7" t="s">
        <v>448</v>
      </c>
      <c r="B78" s="33" t="str">
        <f aca="false">IF(IF(AND(C66&gt;=0,B66&lt;0),(1-1+(-B66)/C65)*12,0)+IF(AND(D66&gt;=0,C66&lt;0),(2-1+(-C66)/D65)*12,0)+IF(AND(E66&gt;=0,D66&lt;0),(3-1+(-D66)/E65)*12,0)+IF(AND(F66&gt;=0,E66&lt;0),(4-1+(-E66)/F65)*12,0)+IF(AND(G66&gt;=0,F66&lt;0),(5-1+(-F66)/G65)*12,0)=0,IF(G66&gt;=0,0,"not within 5 yrs"),IF(AND(C66&gt;=0,B66&lt;0),(1-1+(-B66)/C65)*12,0)+IF(AND(D66&gt;=0,C66&lt;0),(2-1+(-C66)/D65)*12,0)+IF(AND(E66&gt;=0,D66&lt;0),(3-1+(-D66)/E65)*12,0)+IF(AND(F66&gt;=0,E66&lt;0),(4-1+(-E66)/F65)*12,0)+IF(AND(G66&gt;=0,F66&lt;0),(5-1+(-F66)/G65)*12,0))</f>
        <v>not within 5 yrs</v>
      </c>
    </row>
    <row r="79" customFormat="false" ht="15" hidden="false" customHeight="false" outlineLevel="0" collapsed="false">
      <c r="A79" s="7" t="s">
        <v>449</v>
      </c>
      <c r="B79" s="28" t="n">
        <f aca="false">MIN(B61:G61)</f>
        <v>-1313528.42862759</v>
      </c>
    </row>
    <row r="82" customFormat="false" ht="15" hidden="false" customHeight="false" outlineLevel="0" collapsed="false">
      <c r="A82" s="3" t="s">
        <v>451</v>
      </c>
    </row>
    <row r="83" customFormat="false" ht="15" hidden="false" customHeight="false" outlineLevel="0" collapsed="false">
      <c r="A83" s="6" t="s">
        <v>419</v>
      </c>
      <c r="B83" s="6" t="s">
        <v>420</v>
      </c>
      <c r="C83" s="6" t="s">
        <v>397</v>
      </c>
      <c r="D83" s="6" t="s">
        <v>398</v>
      </c>
      <c r="E83" s="6" t="s">
        <v>399</v>
      </c>
      <c r="F83" s="6" t="s">
        <v>400</v>
      </c>
      <c r="G83" s="6" t="s">
        <v>401</v>
      </c>
      <c r="H83" s="6" t="s">
        <v>421</v>
      </c>
    </row>
    <row r="84" customFormat="false" ht="15" hidden="false" customHeight="false" outlineLevel="0" collapsed="false">
      <c r="A84" s="7" t="s">
        <v>422</v>
      </c>
      <c r="B84" s="8" t="n">
        <f aca="false">Assumptions!$E$67*(1+Assumptions!$C$7*Assumptions!$E$68)</f>
        <v>1577400</v>
      </c>
    </row>
    <row r="85" customFormat="false" ht="15" hidden="false" customHeight="false" outlineLevel="0" collapsed="false">
      <c r="A85" s="7" t="s">
        <v>423</v>
      </c>
      <c r="B85" s="8" t="n">
        <f aca="false">Assumptions!$E$69+Assumptions!$E$70+Assumptions!$E$71</f>
        <v>350000</v>
      </c>
    </row>
    <row r="86" customFormat="false" ht="15" hidden="false" customHeight="false" outlineLevel="0" collapsed="false">
      <c r="A86" s="3" t="s">
        <v>424</v>
      </c>
      <c r="B86" s="28" t="n">
        <f aca="false">-(B84+B85)</f>
        <v>-1927400</v>
      </c>
    </row>
    <row r="87" customFormat="false" ht="15" hidden="false" customHeight="false" outlineLevel="0" collapsed="false">
      <c r="A87" s="7" t="s">
        <v>425</v>
      </c>
      <c r="C87" s="8" t="n">
        <f aca="false">Benefits!D44</f>
        <v>0</v>
      </c>
      <c r="D87" s="8" t="n">
        <f aca="false">Benefits!E44</f>
        <v>226727.195007105</v>
      </c>
      <c r="E87" s="8" t="n">
        <f aca="false">Benefits!F44</f>
        <v>608651.555123395</v>
      </c>
      <c r="F87" s="8" t="n">
        <f aca="false">Benefits!G44</f>
        <v>638033.641748043</v>
      </c>
      <c r="G87" s="8" t="n">
        <f aca="false">Benefits!H44</f>
        <v>657174.651000484</v>
      </c>
      <c r="H87" s="27" t="n">
        <f aca="false">SUM(B87:G87)</f>
        <v>2130587.04287903</v>
      </c>
    </row>
    <row r="88" customFormat="false" ht="15" hidden="false" customHeight="false" outlineLevel="0" collapsed="false">
      <c r="A88" s="7" t="s">
        <v>426</v>
      </c>
      <c r="C88" s="27" t="n">
        <f aca="false">-Assumptions!$E$72*(1+Assumptions!$C$11)^0*(13-Assumptions!$E$78)/12</f>
        <v>-300000</v>
      </c>
      <c r="D88" s="27" t="n">
        <f aca="false">-Assumptions!$E$72*(1+Assumptions!$C$11)^1*1</f>
        <v>-378000</v>
      </c>
      <c r="E88" s="27" t="n">
        <f aca="false">-Assumptions!$E$72*(1+Assumptions!$C$11)^2*1</f>
        <v>-396900</v>
      </c>
      <c r="F88" s="27" t="n">
        <f aca="false">-Assumptions!$E$72*(1+Assumptions!$C$11)^3*1</f>
        <v>-416745</v>
      </c>
      <c r="G88" s="27" t="n">
        <f aca="false">-Assumptions!$E$72*(1+Assumptions!$C$11)^4*1</f>
        <v>-437582.25</v>
      </c>
      <c r="H88" s="27" t="n">
        <f aca="false">SUM(B88:G88)</f>
        <v>-1929227.25</v>
      </c>
    </row>
    <row r="89" customFormat="false" ht="15" hidden="false" customHeight="false" outlineLevel="0" collapsed="false">
      <c r="A89" s="7" t="s">
        <v>427</v>
      </c>
      <c r="C89" s="27" t="n">
        <f aca="false">-(Assumptions!$E$73+Assumptions!$E$74)*(13-Assumptions!$E$79)/12</f>
        <v>-30833.3333333333</v>
      </c>
      <c r="D89" s="27" t="n">
        <f aca="false">-(Assumptions!$E$73+Assumptions!$E$74)*1</f>
        <v>-185000</v>
      </c>
      <c r="E89" s="27" t="n">
        <f aca="false">-(Assumptions!$E$73+Assumptions!$E$74)*1</f>
        <v>-185000</v>
      </c>
      <c r="F89" s="27" t="n">
        <f aca="false">-(Assumptions!$E$73+Assumptions!$E$74)*1</f>
        <v>-185000</v>
      </c>
      <c r="G89" s="27" t="n">
        <f aca="false">-(Assumptions!$E$73+Assumptions!$E$74)*1</f>
        <v>-185000</v>
      </c>
      <c r="H89" s="27" t="n">
        <f aca="false">SUM(B89:G89)</f>
        <v>-770833.333333333</v>
      </c>
    </row>
    <row r="90" customFormat="false" ht="15" hidden="false" customHeight="false" outlineLevel="0" collapsed="false">
      <c r="A90" s="3" t="s">
        <v>428</v>
      </c>
      <c r="B90" s="28" t="n">
        <f aca="false">B86</f>
        <v>-1927400</v>
      </c>
      <c r="C90" s="28" t="n">
        <f aca="false">SUM(C87:C89)</f>
        <v>-330833.333333333</v>
      </c>
      <c r="D90" s="28" t="n">
        <f aca="false">SUM(D87:D89)</f>
        <v>-336272.804992895</v>
      </c>
      <c r="E90" s="28" t="n">
        <f aca="false">SUM(E87:E89)</f>
        <v>26751.5551233952</v>
      </c>
      <c r="F90" s="28" t="n">
        <f aca="false">SUM(F87:F89)</f>
        <v>36288.6417480426</v>
      </c>
      <c r="G90" s="28" t="n">
        <f aca="false">SUM(G87:G89)</f>
        <v>34592.4010004838</v>
      </c>
      <c r="H90" s="27" t="n">
        <f aca="false">SUM(B90:G90)</f>
        <v>-2496873.54045431</v>
      </c>
    </row>
    <row r="92" customFormat="false" ht="15" hidden="false" customHeight="false" outlineLevel="0" collapsed="false">
      <c r="A92" s="7" t="s">
        <v>429</v>
      </c>
      <c r="C92" s="16" t="n">
        <f aca="false">Assumptions!$C$10*(Assumptions!$C$30-IF(Assumptions!$C$4=4,Assumptions!$E$86,Assumptions!$E$66))*Ramp!$BT$11</f>
        <v>0</v>
      </c>
      <c r="D92" s="16" t="n">
        <f aca="false">Assumptions!$C$10*(Assumptions!$C$30-IF(Assumptions!$C$4=4,Assumptions!$E$86,Assumptions!$E$66))*Ramp!$BU$11</f>
        <v>7.77777777777778</v>
      </c>
      <c r="E92" s="16" t="n">
        <f aca="false">Assumptions!$C$10*(Assumptions!$C$30-IF(Assumptions!$C$4=4,Assumptions!$E$86,Assumptions!$E$66))*Ramp!$BV$11</f>
        <v>14</v>
      </c>
      <c r="F92" s="16" t="n">
        <f aca="false">Assumptions!$C$10*(Assumptions!$C$30-IF(Assumptions!$C$4=4,Assumptions!$E$86,Assumptions!$E$66))*Ramp!$BW$11</f>
        <v>14</v>
      </c>
      <c r="G92" s="16" t="n">
        <f aca="false">Assumptions!$C$10*(Assumptions!$C$30-IF(Assumptions!$C$4=4,Assumptions!$E$86,Assumptions!$E$66))*Ramp!$BX$11</f>
        <v>14</v>
      </c>
    </row>
    <row r="93" customFormat="false" ht="15" hidden="false" customHeight="false" outlineLevel="0" collapsed="false">
      <c r="A93" s="7" t="s">
        <v>430</v>
      </c>
      <c r="B93" s="27" t="n">
        <v>0</v>
      </c>
      <c r="C93" s="27" t="n">
        <f aca="false">C92*Baseline_Diagnostic!$C$40*Benefits!D$5</f>
        <v>0</v>
      </c>
      <c r="D93" s="27" t="n">
        <f aca="false">D92*Baseline_Diagnostic!$C$40*Benefits!E$5</f>
        <v>838708.462709285</v>
      </c>
      <c r="E93" s="27" t="n">
        <f aca="false">E92*Baseline_Diagnostic!$C$40*Benefits!F$5</f>
        <v>1554965.48986301</v>
      </c>
      <c r="F93" s="27" t="n">
        <f aca="false">F92*Baseline_Diagnostic!$C$40*Benefits!G$5</f>
        <v>1601614.4545589</v>
      </c>
      <c r="G93" s="27" t="n">
        <f aca="false">G92*Baseline_Diagnostic!$C$40*Benefits!H$5</f>
        <v>1649662.88819567</v>
      </c>
    </row>
    <row r="94" customFormat="false" ht="15" hidden="false" customHeight="false" outlineLevel="0" collapsed="false">
      <c r="A94" s="7" t="s">
        <v>431</v>
      </c>
      <c r="C94" s="27" t="n">
        <f aca="false">C93-B93</f>
        <v>0</v>
      </c>
      <c r="D94" s="27" t="n">
        <f aca="false">D93-C93</f>
        <v>838708.462709285</v>
      </c>
      <c r="E94" s="27" t="n">
        <f aca="false">E93-D93</f>
        <v>716257.027153729</v>
      </c>
      <c r="F94" s="27" t="n">
        <f aca="false">F93-E93</f>
        <v>46648.9646958907</v>
      </c>
      <c r="G94" s="27" t="n">
        <f aca="false">G93-F93</f>
        <v>48048.4336367669</v>
      </c>
      <c r="H94" s="27" t="n">
        <f aca="false">SUM(B94:G94)</f>
        <v>1649662.88819567</v>
      </c>
    </row>
    <row r="95" customFormat="false" ht="15" hidden="false" customHeight="false" outlineLevel="0" collapsed="false">
      <c r="A95" s="7" t="s">
        <v>432</v>
      </c>
      <c r="C95" s="27" t="n">
        <f aca="false">-MAX(0,C94)*Assumptions!$C$32</f>
        <v>-0</v>
      </c>
      <c r="D95" s="27" t="n">
        <f aca="false">-MAX(0,D94)*Assumptions!$C$32</f>
        <v>-41935.4231354642</v>
      </c>
      <c r="E95" s="27" t="n">
        <f aca="false">-MAX(0,E94)*Assumptions!$C$32</f>
        <v>-35812.8513576865</v>
      </c>
      <c r="F95" s="27" t="n">
        <f aca="false">-MAX(0,F94)*Assumptions!$C$32</f>
        <v>-2332.44823479453</v>
      </c>
      <c r="G95" s="27" t="n">
        <f aca="false">-MAX(0,G94)*Assumptions!$C$32</f>
        <v>-2402.42168183834</v>
      </c>
      <c r="H95" s="27" t="n">
        <f aca="false">SUM(B95:G95)</f>
        <v>-82483.1444097836</v>
      </c>
    </row>
    <row r="96" customFormat="false" ht="15" hidden="false" customHeight="false" outlineLevel="0" collapsed="false">
      <c r="A96" s="3" t="s">
        <v>433</v>
      </c>
      <c r="C96" s="28" t="n">
        <f aca="false">C94+C95</f>
        <v>0</v>
      </c>
      <c r="D96" s="28" t="n">
        <f aca="false">D94+D95</f>
        <v>796773.03957382</v>
      </c>
      <c r="E96" s="28" t="n">
        <f aca="false">E94+E95</f>
        <v>680444.175796043</v>
      </c>
      <c r="F96" s="28" t="n">
        <f aca="false">F94+F95</f>
        <v>44316.5164610961</v>
      </c>
      <c r="G96" s="28" t="n">
        <f aca="false">G94+G95</f>
        <v>45646.0119549285</v>
      </c>
      <c r="H96" s="27" t="n">
        <f aca="false">SUM(B96:G96)</f>
        <v>1567179.74378589</v>
      </c>
    </row>
    <row r="97" customFormat="false" ht="15" hidden="false" customHeight="false" outlineLevel="0" collapsed="false">
      <c r="A97" s="7" t="s">
        <v>434</v>
      </c>
      <c r="C97" s="32" t="n">
        <f aca="false">0.06*AVERAGE(B93,C93)</f>
        <v>0</v>
      </c>
      <c r="D97" s="32" t="n">
        <f aca="false">0.06*AVERAGE(C93,D93)</f>
        <v>25161.2538812785</v>
      </c>
      <c r="E97" s="32" t="n">
        <f aca="false">0.06*AVERAGE(D93,E93)</f>
        <v>71810.2185771689</v>
      </c>
      <c r="F97" s="32" t="n">
        <f aca="false">0.06*AVERAGE(E93,F93)</f>
        <v>94697.3983326575</v>
      </c>
      <c r="G97" s="32" t="n">
        <f aca="false">0.06*AVERAGE(F93,G93)</f>
        <v>97538.3202826373</v>
      </c>
    </row>
    <row r="99" customFormat="false" ht="15" hidden="false" customHeight="false" outlineLevel="0" collapsed="false">
      <c r="A99" s="3" t="s">
        <v>435</v>
      </c>
      <c r="B99" s="28" t="n">
        <f aca="false">B90</f>
        <v>-1927400</v>
      </c>
      <c r="C99" s="28" t="n">
        <f aca="false">C90+C96</f>
        <v>-330833.333333333</v>
      </c>
      <c r="D99" s="28" t="n">
        <f aca="false">D90+D96</f>
        <v>460500.234580925</v>
      </c>
      <c r="E99" s="28" t="n">
        <f aca="false">E90+E96</f>
        <v>707195.730919438</v>
      </c>
      <c r="F99" s="28" t="n">
        <f aca="false">F90+F96</f>
        <v>80605.1582091387</v>
      </c>
      <c r="G99" s="28" t="n">
        <f aca="false">G90+G96</f>
        <v>80238.4129554124</v>
      </c>
      <c r="H99" s="27" t="n">
        <f aca="false">SUM(B99:G99)</f>
        <v>-929693.796668419</v>
      </c>
    </row>
    <row r="100" customFormat="false" ht="15" hidden="false" customHeight="false" outlineLevel="0" collapsed="false">
      <c r="A100" s="7" t="s">
        <v>436</v>
      </c>
      <c r="B100" s="27" t="n">
        <f aca="false">B99</f>
        <v>-1927400</v>
      </c>
      <c r="C100" s="27" t="n">
        <f aca="false">B100+C99</f>
        <v>-2258233.33333333</v>
      </c>
      <c r="D100" s="27" t="n">
        <f aca="false">C100+D99</f>
        <v>-1797733.09875241</v>
      </c>
      <c r="E100" s="27" t="n">
        <f aca="false">D100+E99</f>
        <v>-1090537.36783297</v>
      </c>
      <c r="F100" s="27" t="n">
        <f aca="false">E100+F99</f>
        <v>-1009932.20962383</v>
      </c>
      <c r="G100" s="27" t="n">
        <f aca="false">F100+G99</f>
        <v>-929693.796668419</v>
      </c>
    </row>
    <row r="101" customFormat="false" ht="15" hidden="false" customHeight="false" outlineLevel="0" collapsed="false">
      <c r="A101" s="7" t="s">
        <v>437</v>
      </c>
      <c r="B101" s="31" t="n">
        <f aca="false">1/(1+Assumptions!$C$14)^0</f>
        <v>1</v>
      </c>
      <c r="C101" s="31" t="n">
        <f aca="false">1/(1+Assumptions!$C$14)^1</f>
        <v>0.892857142857143</v>
      </c>
      <c r="D101" s="31" t="n">
        <f aca="false">1/(1+Assumptions!$C$14)^2</f>
        <v>0.79719387755102</v>
      </c>
      <c r="E101" s="31" t="n">
        <f aca="false">1/(1+Assumptions!$C$14)^3</f>
        <v>0.711780247813411</v>
      </c>
      <c r="F101" s="31" t="n">
        <f aca="false">1/(1+Assumptions!$C$14)^4</f>
        <v>0.635518078404831</v>
      </c>
      <c r="G101" s="31" t="n">
        <f aca="false">1/(1+Assumptions!$C$14)^5</f>
        <v>0.567426855718599</v>
      </c>
    </row>
    <row r="102" customFormat="false" ht="15" hidden="false" customHeight="false" outlineLevel="0" collapsed="false">
      <c r="A102" s="7" t="s">
        <v>438</v>
      </c>
      <c r="B102" s="27" t="n">
        <f aca="false">B99*B101</f>
        <v>-1927400</v>
      </c>
      <c r="C102" s="27" t="n">
        <f aca="false">C99*C101</f>
        <v>-295386.904761905</v>
      </c>
      <c r="D102" s="27" t="n">
        <f aca="false">D99*D101</f>
        <v>367107.967618722</v>
      </c>
      <c r="E102" s="27" t="n">
        <f aca="false">E99*E101</f>
        <v>503367.952606424</v>
      </c>
      <c r="F102" s="27" t="n">
        <f aca="false">F99*F101</f>
        <v>51226.0352545892</v>
      </c>
      <c r="G102" s="27" t="n">
        <f aca="false">G99*G101</f>
        <v>45529.4303711401</v>
      </c>
      <c r="H102" s="27" t="n">
        <f aca="false">SUM(B102:G102)</f>
        <v>-1255555.51891103</v>
      </c>
    </row>
    <row r="103" customFormat="false" ht="15" hidden="false" customHeight="false" outlineLevel="0" collapsed="false">
      <c r="A103" s="7" t="s">
        <v>439</v>
      </c>
      <c r="B103" s="27" t="n">
        <f aca="false">B102</f>
        <v>-1927400</v>
      </c>
      <c r="C103" s="27" t="n">
        <f aca="false">B103+C102</f>
        <v>-2222786.90476191</v>
      </c>
      <c r="D103" s="27" t="n">
        <f aca="false">C103+D102</f>
        <v>-1855678.93714318</v>
      </c>
      <c r="E103" s="27" t="n">
        <f aca="false">D103+E102</f>
        <v>-1352310.98453676</v>
      </c>
      <c r="F103" s="27" t="n">
        <f aca="false">E103+F102</f>
        <v>-1301084.94928217</v>
      </c>
      <c r="G103" s="27" t="n">
        <f aca="false">F103+G102</f>
        <v>-1255555.51891103</v>
      </c>
    </row>
    <row r="104" customFormat="false" ht="15" hidden="false" customHeight="false" outlineLevel="0" collapsed="false">
      <c r="A104" s="3" t="s">
        <v>440</v>
      </c>
      <c r="B104" s="27" t="n">
        <f aca="false">B90</f>
        <v>-1927400</v>
      </c>
      <c r="C104" s="27" t="n">
        <f aca="false">C90</f>
        <v>-330833.333333333</v>
      </c>
      <c r="D104" s="27" t="n">
        <f aca="false">D90</f>
        <v>-336272.804992895</v>
      </c>
      <c r="E104" s="27" t="n">
        <f aca="false">E90</f>
        <v>26751.5551233952</v>
      </c>
      <c r="F104" s="27" t="n">
        <f aca="false">F90</f>
        <v>36288.6417480426</v>
      </c>
      <c r="G104" s="27" t="n">
        <f aca="false">G90</f>
        <v>34592.4010004838</v>
      </c>
      <c r="H104" s="27" t="n">
        <f aca="false">SUM(B104:G104)</f>
        <v>-2496873.54045431</v>
      </c>
    </row>
    <row r="105" customFormat="false" ht="15" hidden="false" customHeight="false" outlineLevel="0" collapsed="false">
      <c r="A105" s="7" t="s">
        <v>441</v>
      </c>
      <c r="B105" s="27" t="n">
        <f aca="false">B104</f>
        <v>-1927400</v>
      </c>
      <c r="C105" s="27" t="n">
        <f aca="false">B105+C104</f>
        <v>-2258233.33333333</v>
      </c>
      <c r="D105" s="27" t="n">
        <f aca="false">C105+D104</f>
        <v>-2594506.13832623</v>
      </c>
      <c r="E105" s="27" t="n">
        <f aca="false">D105+E104</f>
        <v>-2567754.58320283</v>
      </c>
      <c r="F105" s="27" t="n">
        <f aca="false">E105+F104</f>
        <v>-2531465.94145479</v>
      </c>
      <c r="G105" s="27" t="n">
        <f aca="false">F105+G104</f>
        <v>-2496873.54045431</v>
      </c>
    </row>
    <row r="106" customFormat="false" ht="15" hidden="false" customHeight="false" outlineLevel="0" collapsed="false">
      <c r="A106" s="7" t="s">
        <v>442</v>
      </c>
      <c r="B106" s="27" t="n">
        <f aca="false">B104*B101</f>
        <v>-1927400</v>
      </c>
      <c r="C106" s="27" t="n">
        <f aca="false">C104*C101</f>
        <v>-295386.904761905</v>
      </c>
      <c r="D106" s="27" t="n">
        <f aca="false">D104*D101</f>
        <v>-268074.621327244</v>
      </c>
      <c r="E106" s="27" t="n">
        <f aca="false">E104*E101</f>
        <v>19041.2285351243</v>
      </c>
      <c r="F106" s="27" t="n">
        <f aca="false">F104*F101</f>
        <v>23062.0878716374</v>
      </c>
      <c r="G106" s="27" t="n">
        <f aca="false">G104*G101</f>
        <v>19628.6573314615</v>
      </c>
      <c r="H106" s="27" t="n">
        <f aca="false">SUM(B106:G106)</f>
        <v>-2429129.55235093</v>
      </c>
    </row>
    <row r="108" customFormat="false" ht="15" hidden="false" customHeight="false" outlineLevel="0" collapsed="false">
      <c r="A108" s="3" t="s">
        <v>443</v>
      </c>
    </row>
    <row r="109" customFormat="false" ht="15" hidden="false" customHeight="false" outlineLevel="0" collapsed="false">
      <c r="A109" s="7" t="s">
        <v>444</v>
      </c>
      <c r="B109" s="28" t="n">
        <f aca="false">SUM(B102:G102)</f>
        <v>-1255555.51891103</v>
      </c>
    </row>
    <row r="110" customFormat="false" ht="15" hidden="false" customHeight="false" outlineLevel="0" collapsed="false">
      <c r="A110" s="7" t="s">
        <v>445</v>
      </c>
      <c r="B110" s="28" t="n">
        <f aca="false">SUM(B106:G106)</f>
        <v>-2429129.55235093</v>
      </c>
    </row>
    <row r="111" customFormat="false" ht="15" hidden="false" customHeight="false" outlineLevel="0" collapsed="false">
      <c r="A111" s="7" t="s">
        <v>31</v>
      </c>
      <c r="B111" s="29" t="n">
        <f aca="false">IFERROR(IRR(B99:G99,0.1),"n/a")</f>
        <v>-0.17607179129528</v>
      </c>
    </row>
    <row r="112" customFormat="false" ht="15" hidden="false" customHeight="false" outlineLevel="0" collapsed="false">
      <c r="A112" s="7" t="s">
        <v>446</v>
      </c>
      <c r="B112" s="29" t="str">
        <f aca="false">IFERROR(IRR(B104:G104,0.1),"n/a")</f>
        <v>n/a</v>
      </c>
    </row>
    <row r="113" customFormat="false" ht="15" hidden="false" customHeight="false" outlineLevel="0" collapsed="false">
      <c r="A113" s="7" t="s">
        <v>447</v>
      </c>
      <c r="B113" s="29" t="n">
        <f aca="false">(SUM(C99:G99)+B99)/-B99</f>
        <v>-0.482356436997208</v>
      </c>
    </row>
    <row r="114" customFormat="false" ht="15" hidden="false" customHeight="false" outlineLevel="0" collapsed="false">
      <c r="A114" s="7" t="s">
        <v>35</v>
      </c>
      <c r="B114" s="29" t="n">
        <f aca="false">(SUM(C104:G104)+B104)/-B104</f>
        <v>-1.295462042365</v>
      </c>
    </row>
    <row r="115" customFormat="false" ht="15" hidden="false" customHeight="false" outlineLevel="0" collapsed="false">
      <c r="A115" s="7" t="s">
        <v>36</v>
      </c>
      <c r="B115" s="33" t="str">
        <f aca="false">IF(IF(AND(C100&gt;=0,B100&lt;0),(1-1+(-B100)/C99)*12,0)+IF(AND(D100&gt;=0,C100&lt;0),(2-1+(-C100)/D99)*12,0)+IF(AND(E100&gt;=0,D100&lt;0),(3-1+(-D100)/E99)*12,0)+IF(AND(F100&gt;=0,E100&lt;0),(4-1+(-E100)/F99)*12,0)+IF(AND(G100&gt;=0,F100&lt;0),(5-1+(-F100)/G99)*12,0)=0,IF(G100&gt;=0,0,"not within 5 yrs"),IF(AND(C100&gt;=0,B100&lt;0),(1-1+(-B100)/C99)*12,0)+IF(AND(D100&gt;=0,C100&lt;0),(2-1+(-C100)/D99)*12,0)+IF(AND(E100&gt;=0,D100&lt;0),(3-1+(-D100)/E99)*12,0)+IF(AND(F100&gt;=0,E100&lt;0),(4-1+(-E100)/F99)*12,0)+IF(AND(G100&gt;=0,F100&lt;0),(5-1+(-F100)/G99)*12,0))</f>
        <v>not within 5 yrs</v>
      </c>
    </row>
    <row r="116" customFormat="false" ht="15" hidden="false" customHeight="false" outlineLevel="0" collapsed="false">
      <c r="A116" s="7" t="s">
        <v>38</v>
      </c>
      <c r="B116" s="33" t="str">
        <f aca="false">IF(IF(AND(C103&gt;=0,B103&lt;0),(1-1+(-B103)/C102)*12,0)+IF(AND(D103&gt;=0,C103&lt;0),(2-1+(-C103)/D102)*12,0)+IF(AND(E103&gt;=0,D103&lt;0),(3-1+(-D103)/E102)*12,0)+IF(AND(F103&gt;=0,E103&lt;0),(4-1+(-E103)/F102)*12,0)+IF(AND(G103&gt;=0,F103&lt;0),(5-1+(-F103)/G102)*12,0)=0,IF(G103&gt;=0,0,"not within 5 yrs"),IF(AND(C103&gt;=0,B103&lt;0),(1-1+(-B103)/C102)*12,0)+IF(AND(D103&gt;=0,C103&lt;0),(2-1+(-C103)/D102)*12,0)+IF(AND(E103&gt;=0,D103&lt;0),(3-1+(-D103)/E102)*12,0)+IF(AND(F103&gt;=0,E103&lt;0),(4-1+(-E103)/F102)*12,0)+IF(AND(G103&gt;=0,F103&lt;0),(5-1+(-F103)/G102)*12,0))</f>
        <v>not within 5 yrs</v>
      </c>
    </row>
    <row r="117" customFormat="false" ht="15" hidden="false" customHeight="false" outlineLevel="0" collapsed="false">
      <c r="A117" s="7" t="s">
        <v>448</v>
      </c>
      <c r="B117" s="33" t="str">
        <f aca="false">IF(IF(AND(C105&gt;=0,B105&lt;0),(1-1+(-B105)/C104)*12,0)+IF(AND(D105&gt;=0,C105&lt;0),(2-1+(-C105)/D104)*12,0)+IF(AND(E105&gt;=0,D105&lt;0),(3-1+(-D105)/E104)*12,0)+IF(AND(F105&gt;=0,E105&lt;0),(4-1+(-E105)/F104)*12,0)+IF(AND(G105&gt;=0,F105&lt;0),(5-1+(-F105)/G104)*12,0)=0,IF(G105&gt;=0,0,"not within 5 yrs"),IF(AND(C105&gt;=0,B105&lt;0),(1-1+(-B105)/C104)*12,0)+IF(AND(D105&gt;=0,C105&lt;0),(2-1+(-C105)/D104)*12,0)+IF(AND(E105&gt;=0,D105&lt;0),(3-1+(-D105)/E104)*12,0)+IF(AND(F105&gt;=0,E105&lt;0),(4-1+(-E105)/F104)*12,0)+IF(AND(G105&gt;=0,F105&lt;0),(5-1+(-F105)/G104)*12,0))</f>
        <v>not within 5 yrs</v>
      </c>
    </row>
    <row r="118" customFormat="false" ht="15" hidden="false" customHeight="false" outlineLevel="0" collapsed="false">
      <c r="A118" s="7" t="s">
        <v>449</v>
      </c>
      <c r="B118" s="28" t="n">
        <f aca="false">MIN(B100:G100)</f>
        <v>-2258233.33333333</v>
      </c>
    </row>
    <row r="121" customFormat="false" ht="15" hidden="false" customHeight="false" outlineLevel="0" collapsed="false">
      <c r="A121" s="3" t="s">
        <v>452</v>
      </c>
    </row>
    <row r="122" customFormat="false" ht="15" hidden="false" customHeight="false" outlineLevel="0" collapsed="false">
      <c r="A122" s="6" t="s">
        <v>419</v>
      </c>
      <c r="B122" s="6" t="s">
        <v>420</v>
      </c>
      <c r="C122" s="6" t="s">
        <v>397</v>
      </c>
      <c r="D122" s="6" t="s">
        <v>398</v>
      </c>
      <c r="E122" s="6" t="s">
        <v>399</v>
      </c>
      <c r="F122" s="6" t="s">
        <v>400</v>
      </c>
      <c r="G122" s="6" t="s">
        <v>401</v>
      </c>
      <c r="H122" s="6" t="s">
        <v>421</v>
      </c>
    </row>
    <row r="123" customFormat="false" ht="15" hidden="false" customHeight="false" outlineLevel="0" collapsed="false">
      <c r="A123" s="7" t="s">
        <v>422</v>
      </c>
      <c r="B123" s="8" t="n">
        <f aca="false">(Assumptions!$D$67+Assumptions!$C$95)*(1+Assumptions!$C$7*Assumptions!$D$68)</f>
        <v>1046500</v>
      </c>
    </row>
    <row r="124" customFormat="false" ht="15" hidden="false" customHeight="false" outlineLevel="0" collapsed="false">
      <c r="A124" s="7" t="s">
        <v>423</v>
      </c>
      <c r="B124" s="8" t="n">
        <f aca="false">Assumptions!$D$69+Assumptions!$C$96+Assumptions!$D$70+Assumptions!$D$71</f>
        <v>270000</v>
      </c>
    </row>
    <row r="125" customFormat="false" ht="15" hidden="false" customHeight="false" outlineLevel="0" collapsed="false">
      <c r="A125" s="3" t="s">
        <v>424</v>
      </c>
      <c r="B125" s="28" t="n">
        <f aca="false">-(B123+B124)</f>
        <v>-1316500</v>
      </c>
    </row>
    <row r="126" customFormat="false" ht="15" hidden="false" customHeight="false" outlineLevel="0" collapsed="false">
      <c r="A126" s="7" t="s">
        <v>425</v>
      </c>
      <c r="C126" s="8" t="n">
        <f aca="false">Benefits!D57</f>
        <v>68821.0870264045</v>
      </c>
      <c r="D126" s="8" t="n">
        <f aca="false">Benefits!E57</f>
        <v>361368.441730246</v>
      </c>
      <c r="E126" s="8" t="n">
        <f aca="false">Benefits!F57</f>
        <v>483335.15051663</v>
      </c>
      <c r="F126" s="8" t="n">
        <f aca="false">Benefits!G57</f>
        <v>497835.205032129</v>
      </c>
      <c r="G126" s="8" t="n">
        <f aca="false">Benefits!H57</f>
        <v>512770.261183093</v>
      </c>
      <c r="H126" s="27" t="n">
        <f aca="false">SUM(B126:G126)</f>
        <v>1924130.1454885</v>
      </c>
    </row>
    <row r="127" customFormat="false" ht="15" hidden="false" customHeight="false" outlineLevel="0" collapsed="false">
      <c r="A127" s="7" t="s">
        <v>426</v>
      </c>
      <c r="C127" s="27" t="n">
        <f aca="false">-Assumptions!$D$72*(1+Assumptions!$C$11)^0*(13-Assumptions!$C$97)/12</f>
        <v>-157500</v>
      </c>
      <c r="D127" s="27" t="n">
        <f aca="false">-Assumptions!$D$72*(1+Assumptions!$C$11)^1*1</f>
        <v>-220500</v>
      </c>
      <c r="E127" s="27" t="n">
        <f aca="false">-Assumptions!$D$72*(1+Assumptions!$C$11)^2*1</f>
        <v>-231525</v>
      </c>
      <c r="F127" s="27" t="n">
        <f aca="false">-Assumptions!$D$72*(1+Assumptions!$C$11)^3*1</f>
        <v>-243101.25</v>
      </c>
      <c r="G127" s="27" t="n">
        <f aca="false">-Assumptions!$D$72*(1+Assumptions!$C$11)^4*1</f>
        <v>-255256.3125</v>
      </c>
      <c r="H127" s="27" t="n">
        <f aca="false">SUM(B127:G127)</f>
        <v>-1107882.5625</v>
      </c>
    </row>
    <row r="128" customFormat="false" ht="15" hidden="false" customHeight="false" outlineLevel="0" collapsed="false">
      <c r="A128" s="7" t="s">
        <v>427</v>
      </c>
      <c r="C128" s="27" t="n">
        <f aca="false">-(Assumptions!$D$73+Assumptions!$D$74)*(13-Assumptions!$C$98)/12</f>
        <v>-33333.3333333333</v>
      </c>
      <c r="D128" s="27" t="n">
        <f aca="false">-(Assumptions!$D$73+Assumptions!$D$74)*1</f>
        <v>-100000</v>
      </c>
      <c r="E128" s="27" t="n">
        <f aca="false">-(Assumptions!$D$73+Assumptions!$D$74)*1</f>
        <v>-100000</v>
      </c>
      <c r="F128" s="27" t="n">
        <f aca="false">-(Assumptions!$D$73+Assumptions!$D$74)*1</f>
        <v>-100000</v>
      </c>
      <c r="G128" s="27" t="n">
        <f aca="false">-(Assumptions!$D$73+Assumptions!$D$74)*1</f>
        <v>-100000</v>
      </c>
      <c r="H128" s="27" t="n">
        <f aca="false">SUM(B128:G128)</f>
        <v>-433333.333333333</v>
      </c>
    </row>
    <row r="129" customFormat="false" ht="15" hidden="false" customHeight="false" outlineLevel="0" collapsed="false">
      <c r="A129" s="3" t="s">
        <v>428</v>
      </c>
      <c r="B129" s="28" t="n">
        <f aca="false">B125</f>
        <v>-1316500</v>
      </c>
      <c r="C129" s="28" t="n">
        <f aca="false">SUM(C126:C128)</f>
        <v>-122012.246306929</v>
      </c>
      <c r="D129" s="28" t="n">
        <f aca="false">SUM(D126:D128)</f>
        <v>40868.4417302457</v>
      </c>
      <c r="E129" s="28" t="n">
        <f aca="false">SUM(E126:E128)</f>
        <v>151810.15051663</v>
      </c>
      <c r="F129" s="28" t="n">
        <f aca="false">SUM(F126:F128)</f>
        <v>154733.955032129</v>
      </c>
      <c r="G129" s="28" t="n">
        <f aca="false">SUM(G126:G128)</f>
        <v>157513.948683092</v>
      </c>
      <c r="H129" s="27" t="n">
        <f aca="false">SUM(B129:G129)</f>
        <v>-933585.750344832</v>
      </c>
    </row>
    <row r="131" customFormat="false" ht="15" hidden="false" customHeight="false" outlineLevel="0" collapsed="false">
      <c r="A131" s="7" t="s">
        <v>429</v>
      </c>
      <c r="C131" s="16" t="n">
        <f aca="false">Assumptions!$C$10*((Assumptions!$C$30-IF(Assumptions!$C$4=4,Assumptions!$C$86,Assumptions!$C$66))*Ramp!$BT$14+((Assumptions!$C$30-IF(Assumptions!$C$4=4,Assumptions!$D$86,Assumptions!$D$66))-(Assumptions!$C$30-IF(Assumptions!$C$4=4,Assumptions!$C$86,Assumptions!$C$66)))*Ramp!$BT$15)</f>
        <v>2.66666666666667</v>
      </c>
      <c r="D131" s="16" t="n">
        <f aca="false">Assumptions!$C$10*((Assumptions!$C$30-IF(Assumptions!$C$4=4,Assumptions!$C$86,Assumptions!$C$66))*Ramp!$BU$14+((Assumptions!$C$30-IF(Assumptions!$C$4=4,Assumptions!$D$86,Assumptions!$D$66))-(Assumptions!$C$30-IF(Assumptions!$C$4=4,Assumptions!$C$86,Assumptions!$C$66)))*Ramp!$BU$15)</f>
        <v>11</v>
      </c>
      <c r="E131" s="16" t="n">
        <f aca="false">Assumptions!$C$10*((Assumptions!$C$30-IF(Assumptions!$C$4=4,Assumptions!$C$86,Assumptions!$C$66))*Ramp!$BV$14+((Assumptions!$C$30-IF(Assumptions!$C$4=4,Assumptions!$D$86,Assumptions!$D$66))-(Assumptions!$C$30-IF(Assumptions!$C$4=4,Assumptions!$C$86,Assumptions!$C$66)))*Ramp!$BV$15)</f>
        <v>11</v>
      </c>
      <c r="F131" s="16" t="n">
        <f aca="false">Assumptions!$C$10*((Assumptions!$C$30-IF(Assumptions!$C$4=4,Assumptions!$C$86,Assumptions!$C$66))*Ramp!$BW$14+((Assumptions!$C$30-IF(Assumptions!$C$4=4,Assumptions!$D$86,Assumptions!$D$66))-(Assumptions!$C$30-IF(Assumptions!$C$4=4,Assumptions!$C$86,Assumptions!$C$66)))*Ramp!$BW$15)</f>
        <v>11</v>
      </c>
      <c r="G131" s="16" t="n">
        <f aca="false">Assumptions!$C$10*((Assumptions!$C$30-IF(Assumptions!$C$4=4,Assumptions!$C$86,Assumptions!$C$66))*Ramp!$BX$14+((Assumptions!$C$30-IF(Assumptions!$C$4=4,Assumptions!$D$86,Assumptions!$D$66))-(Assumptions!$C$30-IF(Assumptions!$C$4=4,Assumptions!$C$86,Assumptions!$C$66)))*Ramp!$BX$15)</f>
        <v>11</v>
      </c>
    </row>
    <row r="132" customFormat="false" ht="15" hidden="false" customHeight="false" outlineLevel="0" collapsed="false">
      <c r="A132" s="7" t="s">
        <v>430</v>
      </c>
      <c r="B132" s="27" t="n">
        <v>0</v>
      </c>
      <c r="C132" s="27" t="n">
        <f aca="false">C131*Baseline_Diagnostic!$C$40*Benefits!D$5</f>
        <v>279181.735159817</v>
      </c>
      <c r="D132" s="27" t="n">
        <f aca="false">D131*Baseline_Diagnostic!$C$40*Benefits!E$5</f>
        <v>1186173.39726027</v>
      </c>
      <c r="E132" s="27" t="n">
        <f aca="false">E131*Baseline_Diagnostic!$C$40*Benefits!F$5</f>
        <v>1221758.59917808</v>
      </c>
      <c r="F132" s="27" t="n">
        <f aca="false">F131*Baseline_Diagnostic!$C$40*Benefits!G$5</f>
        <v>1258411.35715342</v>
      </c>
      <c r="G132" s="27" t="n">
        <f aca="false">G131*Baseline_Diagnostic!$C$40*Benefits!H$5</f>
        <v>1296163.69786803</v>
      </c>
    </row>
    <row r="133" customFormat="false" ht="15" hidden="false" customHeight="false" outlineLevel="0" collapsed="false">
      <c r="A133" s="7" t="s">
        <v>431</v>
      </c>
      <c r="C133" s="27" t="n">
        <f aca="false">C132-B132</f>
        <v>279181.735159817</v>
      </c>
      <c r="D133" s="27" t="n">
        <f aca="false">D132-C132</f>
        <v>906991.662100456</v>
      </c>
      <c r="E133" s="27" t="n">
        <f aca="false">E132-D132</f>
        <v>35585.2019178083</v>
      </c>
      <c r="F133" s="27" t="n">
        <f aca="false">F132-E132</f>
        <v>36652.7579753427</v>
      </c>
      <c r="G133" s="27" t="n">
        <f aca="false">G132-F132</f>
        <v>37752.3407146027</v>
      </c>
      <c r="H133" s="27" t="n">
        <f aca="false">SUM(B133:G133)</f>
        <v>1296163.69786803</v>
      </c>
    </row>
    <row r="134" customFormat="false" ht="15" hidden="false" customHeight="false" outlineLevel="0" collapsed="false">
      <c r="A134" s="7" t="s">
        <v>432</v>
      </c>
      <c r="C134" s="27" t="n">
        <f aca="false">-MAX(0,C133)*Assumptions!$C$32</f>
        <v>-13959.0867579909</v>
      </c>
      <c r="D134" s="27" t="n">
        <f aca="false">-MAX(0,D133)*Assumptions!$C$32</f>
        <v>-45349.5831050228</v>
      </c>
      <c r="E134" s="27" t="n">
        <f aca="false">-MAX(0,E133)*Assumptions!$C$32</f>
        <v>-1779.26009589041</v>
      </c>
      <c r="F134" s="27" t="n">
        <f aca="false">-MAX(0,F133)*Assumptions!$C$32</f>
        <v>-1832.63789876713</v>
      </c>
      <c r="G134" s="27" t="n">
        <f aca="false">-MAX(0,G133)*Assumptions!$C$32</f>
        <v>-1887.61703573014</v>
      </c>
      <c r="H134" s="27" t="n">
        <f aca="false">SUM(B134:G134)</f>
        <v>-64808.1848934014</v>
      </c>
    </row>
    <row r="135" customFormat="false" ht="15" hidden="false" customHeight="false" outlineLevel="0" collapsed="false">
      <c r="A135" s="3" t="s">
        <v>433</v>
      </c>
      <c r="C135" s="28" t="n">
        <f aca="false">C133+C134</f>
        <v>265222.648401826</v>
      </c>
      <c r="D135" s="28" t="n">
        <f aca="false">D133+D134</f>
        <v>861642.078995434</v>
      </c>
      <c r="E135" s="28" t="n">
        <f aca="false">E133+E134</f>
        <v>33805.9418219179</v>
      </c>
      <c r="F135" s="28" t="n">
        <f aca="false">F133+F134</f>
        <v>34820.1200765756</v>
      </c>
      <c r="G135" s="28" t="n">
        <f aca="false">G133+G134</f>
        <v>35864.7236788726</v>
      </c>
      <c r="H135" s="27" t="n">
        <f aca="false">SUM(B135:G135)</f>
        <v>1231355.51297463</v>
      </c>
    </row>
    <row r="136" customFormat="false" ht="15" hidden="false" customHeight="false" outlineLevel="0" collapsed="false">
      <c r="A136" s="7" t="s">
        <v>434</v>
      </c>
      <c r="C136" s="32" t="n">
        <f aca="false">0.06*AVERAGE(B132,C132)</f>
        <v>8375.45205479452</v>
      </c>
      <c r="D136" s="32" t="n">
        <f aca="false">0.06*AVERAGE(C132,D132)</f>
        <v>43960.6539726027</v>
      </c>
      <c r="E136" s="32" t="n">
        <f aca="false">0.06*AVERAGE(D132,E132)</f>
        <v>72237.9598931507</v>
      </c>
      <c r="F136" s="32" t="n">
        <f aca="false">0.06*AVERAGE(E132,F132)</f>
        <v>74405.0986899452</v>
      </c>
      <c r="G136" s="32" t="n">
        <f aca="false">0.06*AVERAGE(F132,G132)</f>
        <v>76637.2516506436</v>
      </c>
    </row>
    <row r="138" customFormat="false" ht="15" hidden="false" customHeight="false" outlineLevel="0" collapsed="false">
      <c r="A138" s="3" t="s">
        <v>435</v>
      </c>
      <c r="B138" s="28" t="n">
        <f aca="false">B129</f>
        <v>-1316500</v>
      </c>
      <c r="C138" s="28" t="n">
        <f aca="false">C129+C135</f>
        <v>143210.402094898</v>
      </c>
      <c r="D138" s="28" t="n">
        <f aca="false">D129+D135</f>
        <v>902510.520725679</v>
      </c>
      <c r="E138" s="28" t="n">
        <f aca="false">E129+E135</f>
        <v>185616.092338548</v>
      </c>
      <c r="F138" s="28" t="n">
        <f aca="false">F129+F135</f>
        <v>189554.075108704</v>
      </c>
      <c r="G138" s="28" t="n">
        <f aca="false">G129+G135</f>
        <v>193378.672361965</v>
      </c>
      <c r="H138" s="27" t="n">
        <f aca="false">SUM(B138:G138)</f>
        <v>297769.762629794</v>
      </c>
    </row>
    <row r="139" customFormat="false" ht="15" hidden="false" customHeight="false" outlineLevel="0" collapsed="false">
      <c r="A139" s="7" t="s">
        <v>436</v>
      </c>
      <c r="B139" s="27" t="n">
        <f aca="false">B138</f>
        <v>-1316500</v>
      </c>
      <c r="C139" s="27" t="n">
        <f aca="false">B139+C138</f>
        <v>-1173289.5979051</v>
      </c>
      <c r="D139" s="27" t="n">
        <f aca="false">C139+D138</f>
        <v>-270779.077179423</v>
      </c>
      <c r="E139" s="27" t="n">
        <f aca="false">D139+E138</f>
        <v>-85162.9848408755</v>
      </c>
      <c r="F139" s="27" t="n">
        <f aca="false">E139+F138</f>
        <v>104391.090267829</v>
      </c>
      <c r="G139" s="27" t="n">
        <f aca="false">F139+G138</f>
        <v>297769.762629794</v>
      </c>
    </row>
    <row r="140" customFormat="false" ht="15" hidden="false" customHeight="false" outlineLevel="0" collapsed="false">
      <c r="A140" s="7" t="s">
        <v>437</v>
      </c>
      <c r="B140" s="31" t="n">
        <f aca="false">1/(1+Assumptions!$C$14)^0</f>
        <v>1</v>
      </c>
      <c r="C140" s="31" t="n">
        <f aca="false">1/(1+Assumptions!$C$14)^1</f>
        <v>0.892857142857143</v>
      </c>
      <c r="D140" s="31" t="n">
        <f aca="false">1/(1+Assumptions!$C$14)^2</f>
        <v>0.79719387755102</v>
      </c>
      <c r="E140" s="31" t="n">
        <f aca="false">1/(1+Assumptions!$C$14)^3</f>
        <v>0.711780247813411</v>
      </c>
      <c r="F140" s="31" t="n">
        <f aca="false">1/(1+Assumptions!$C$14)^4</f>
        <v>0.635518078404831</v>
      </c>
      <c r="G140" s="31" t="n">
        <f aca="false">1/(1+Assumptions!$C$14)^5</f>
        <v>0.567426855718599</v>
      </c>
    </row>
    <row r="141" customFormat="false" ht="15" hidden="false" customHeight="false" outlineLevel="0" collapsed="false">
      <c r="A141" s="7" t="s">
        <v>438</v>
      </c>
      <c r="B141" s="27" t="n">
        <f aca="false">B138*B140</f>
        <v>-1316500</v>
      </c>
      <c r="C141" s="27" t="n">
        <f aca="false">C138*C140</f>
        <v>127866.430441873</v>
      </c>
      <c r="D141" s="27" t="n">
        <f aca="false">D138*D140</f>
        <v>719475.861547895</v>
      </c>
      <c r="E141" s="27" t="n">
        <f aca="false">E138*E140</f>
        <v>132117.868202888</v>
      </c>
      <c r="F141" s="27" t="n">
        <f aca="false">F138*F140</f>
        <v>120465.041566889</v>
      </c>
      <c r="G141" s="27" t="n">
        <f aca="false">G138*G140</f>
        <v>109728.252021387</v>
      </c>
      <c r="H141" s="27" t="n">
        <f aca="false">SUM(B141:G141)</f>
        <v>-106846.546219068</v>
      </c>
    </row>
    <row r="142" customFormat="false" ht="15" hidden="false" customHeight="false" outlineLevel="0" collapsed="false">
      <c r="A142" s="7" t="s">
        <v>439</v>
      </c>
      <c r="B142" s="27" t="n">
        <f aca="false">B141</f>
        <v>-1316500</v>
      </c>
      <c r="C142" s="27" t="n">
        <f aca="false">B142+C141</f>
        <v>-1188633.56955813</v>
      </c>
      <c r="D142" s="27" t="n">
        <f aca="false">C142+D141</f>
        <v>-469157.708010232</v>
      </c>
      <c r="E142" s="27" t="n">
        <f aca="false">D142+E141</f>
        <v>-337039.839807344</v>
      </c>
      <c r="F142" s="27" t="n">
        <f aca="false">E142+F141</f>
        <v>-216574.798240455</v>
      </c>
      <c r="G142" s="27" t="n">
        <f aca="false">F142+G141</f>
        <v>-106846.546219068</v>
      </c>
    </row>
    <row r="143" customFormat="false" ht="15" hidden="false" customHeight="false" outlineLevel="0" collapsed="false">
      <c r="A143" s="3" t="s">
        <v>440</v>
      </c>
      <c r="B143" s="27" t="n">
        <f aca="false">B129</f>
        <v>-1316500</v>
      </c>
      <c r="C143" s="27" t="n">
        <f aca="false">C129</f>
        <v>-122012.246306929</v>
      </c>
      <c r="D143" s="27" t="n">
        <f aca="false">D129</f>
        <v>40868.4417302457</v>
      </c>
      <c r="E143" s="27" t="n">
        <f aca="false">E129</f>
        <v>151810.15051663</v>
      </c>
      <c r="F143" s="27" t="n">
        <f aca="false">F129</f>
        <v>154733.955032129</v>
      </c>
      <c r="G143" s="27" t="n">
        <f aca="false">G129</f>
        <v>157513.948683092</v>
      </c>
      <c r="H143" s="27" t="n">
        <f aca="false">SUM(B143:G143)</f>
        <v>-933585.750344832</v>
      </c>
    </row>
    <row r="144" customFormat="false" ht="15" hidden="false" customHeight="false" outlineLevel="0" collapsed="false">
      <c r="A144" s="7" t="s">
        <v>441</v>
      </c>
      <c r="B144" s="27" t="n">
        <f aca="false">B143</f>
        <v>-1316500</v>
      </c>
      <c r="C144" s="27" t="n">
        <f aca="false">B144+C143</f>
        <v>-1438512.24630693</v>
      </c>
      <c r="D144" s="27" t="n">
        <f aca="false">C144+D143</f>
        <v>-1397643.80457668</v>
      </c>
      <c r="E144" s="27" t="n">
        <f aca="false">D144+E143</f>
        <v>-1245833.65406005</v>
      </c>
      <c r="F144" s="27" t="n">
        <f aca="false">E144+F143</f>
        <v>-1091099.69902792</v>
      </c>
      <c r="G144" s="27" t="n">
        <f aca="false">F144+G143</f>
        <v>-933585.750344832</v>
      </c>
    </row>
    <row r="145" customFormat="false" ht="15" hidden="false" customHeight="false" outlineLevel="0" collapsed="false">
      <c r="A145" s="7" t="s">
        <v>442</v>
      </c>
      <c r="B145" s="27" t="n">
        <f aca="false">B143*B140</f>
        <v>-1316500</v>
      </c>
      <c r="C145" s="27" t="n">
        <f aca="false">C143*C140</f>
        <v>-108939.505631186</v>
      </c>
      <c r="D145" s="27" t="n">
        <f aca="false">D143*D140</f>
        <v>32580.0715324025</v>
      </c>
      <c r="E145" s="27" t="n">
        <f aca="false">E143*E140</f>
        <v>108055.466555318</v>
      </c>
      <c r="F145" s="27" t="n">
        <f aca="false">F143*F140</f>
        <v>98336.2257659979</v>
      </c>
      <c r="G145" s="27" t="n">
        <f aca="false">G143*G140</f>
        <v>89377.6446330679</v>
      </c>
      <c r="H145" s="27" t="n">
        <f aca="false">SUM(B145:G145)</f>
        <v>-1097090.0971444</v>
      </c>
    </row>
    <row r="147" customFormat="false" ht="15" hidden="false" customHeight="false" outlineLevel="0" collapsed="false">
      <c r="A147" s="3" t="s">
        <v>443</v>
      </c>
    </row>
    <row r="148" customFormat="false" ht="15" hidden="false" customHeight="false" outlineLevel="0" collapsed="false">
      <c r="A148" s="7" t="s">
        <v>444</v>
      </c>
      <c r="B148" s="28" t="n">
        <f aca="false">SUM(B141:G141)</f>
        <v>-106846.546219068</v>
      </c>
    </row>
    <row r="149" customFormat="false" ht="15" hidden="false" customHeight="false" outlineLevel="0" collapsed="false">
      <c r="A149" s="7" t="s">
        <v>445</v>
      </c>
      <c r="B149" s="28" t="n">
        <f aca="false">SUM(B145:G145)</f>
        <v>-1097090.0971444</v>
      </c>
    </row>
    <row r="150" customFormat="false" ht="15" hidden="false" customHeight="false" outlineLevel="0" collapsed="false">
      <c r="A150" s="7" t="s">
        <v>31</v>
      </c>
      <c r="B150" s="29" t="n">
        <f aca="false">IFERROR(IRR(B138:G138,0.1),"n/a")</f>
        <v>0.0826489036060681</v>
      </c>
    </row>
    <row r="151" customFormat="false" ht="15" hidden="false" customHeight="false" outlineLevel="0" collapsed="false">
      <c r="A151" s="7" t="s">
        <v>446</v>
      </c>
      <c r="B151" s="29" t="n">
        <f aca="false">IFERROR(IRR(B143:G143,0.1),"n/a")</f>
        <v>-0.23684235135287</v>
      </c>
    </row>
    <row r="152" customFormat="false" ht="15" hidden="false" customHeight="false" outlineLevel="0" collapsed="false">
      <c r="A152" s="7" t="s">
        <v>447</v>
      </c>
      <c r="B152" s="29" t="n">
        <f aca="false">(SUM(C138:G138)+B138)/-B138</f>
        <v>0.226182880842988</v>
      </c>
    </row>
    <row r="153" customFormat="false" ht="15" hidden="false" customHeight="false" outlineLevel="0" collapsed="false">
      <c r="A153" s="7" t="s">
        <v>35</v>
      </c>
      <c r="B153" s="29" t="n">
        <f aca="false">(SUM(C143:G143)+B143)/-B143</f>
        <v>-0.709142233456006</v>
      </c>
    </row>
    <row r="154" customFormat="false" ht="15" hidden="false" customHeight="false" outlineLevel="0" collapsed="false">
      <c r="A154" s="7" t="s">
        <v>36</v>
      </c>
      <c r="B154" s="33" t="n">
        <f aca="false">IF(IF(AND(C139&gt;=0,B139&lt;0),(1-1+(-B139)/C138)*12,0)+IF(AND(D139&gt;=0,C139&lt;0),(2-1+(-C139)/D138)*12,0)+IF(AND(E139&gt;=0,D139&lt;0),(3-1+(-D139)/E138)*12,0)+IF(AND(F139&gt;=0,E139&lt;0),(4-1+(-E139)/F138)*12,0)+IF(AND(G139&gt;=0,F139&lt;0),(5-1+(-F139)/G138)*12,0)=0,IF(G139&gt;=0,0,"not within 5 yrs"),IF(AND(C139&gt;=0,B139&lt;0),(1-1+(-B139)/C138)*12,0)+IF(AND(D139&gt;=0,C139&lt;0),(2-1+(-C139)/D138)*12,0)+IF(AND(E139&gt;=0,D139&lt;0),(3-1+(-D139)/E138)*12,0)+IF(AND(F139&gt;=0,E139&lt;0),(4-1+(-E139)/F138)*12,0)+IF(AND(G139&gt;=0,F139&lt;0),(5-1+(-F139)/G138)*12,0))</f>
        <v>41.3913682283245</v>
      </c>
    </row>
    <row r="155" customFormat="false" ht="15" hidden="false" customHeight="false" outlineLevel="0" collapsed="false">
      <c r="A155" s="7" t="s">
        <v>38</v>
      </c>
      <c r="B155" s="33" t="str">
        <f aca="false">IF(IF(AND(C142&gt;=0,B142&lt;0),(1-1+(-B142)/C141)*12,0)+IF(AND(D142&gt;=0,C142&lt;0),(2-1+(-C142)/D141)*12,0)+IF(AND(E142&gt;=0,D142&lt;0),(3-1+(-D142)/E141)*12,0)+IF(AND(F142&gt;=0,E142&lt;0),(4-1+(-E142)/F141)*12,0)+IF(AND(G142&gt;=0,F142&lt;0),(5-1+(-F142)/G141)*12,0)=0,IF(G142&gt;=0,0,"not within 5 yrs"),IF(AND(C142&gt;=0,B142&lt;0),(1-1+(-B142)/C141)*12,0)+IF(AND(D142&gt;=0,C142&lt;0),(2-1+(-C142)/D141)*12,0)+IF(AND(E142&gt;=0,D142&lt;0),(3-1+(-D142)/E141)*12,0)+IF(AND(F142&gt;=0,E142&lt;0),(4-1+(-E142)/F141)*12,0)+IF(AND(G142&gt;=0,F142&lt;0),(5-1+(-F142)/G141)*12,0))</f>
        <v>not within 5 yrs</v>
      </c>
    </row>
    <row r="156" customFormat="false" ht="15" hidden="false" customHeight="false" outlineLevel="0" collapsed="false">
      <c r="A156" s="7" t="s">
        <v>448</v>
      </c>
      <c r="B156" s="33" t="str">
        <f aca="false">IF(IF(AND(C144&gt;=0,B144&lt;0),(1-1+(-B144)/C143)*12,0)+IF(AND(D144&gt;=0,C144&lt;0),(2-1+(-C144)/D143)*12,0)+IF(AND(E144&gt;=0,D144&lt;0),(3-1+(-D144)/E143)*12,0)+IF(AND(F144&gt;=0,E144&lt;0),(4-1+(-E144)/F143)*12,0)+IF(AND(G144&gt;=0,F144&lt;0),(5-1+(-F144)/G143)*12,0)=0,IF(G144&gt;=0,0,"not within 5 yrs"),IF(AND(C144&gt;=0,B144&lt;0),(1-1+(-B144)/C143)*12,0)+IF(AND(D144&gt;=0,C144&lt;0),(2-1+(-C144)/D143)*12,0)+IF(AND(E144&gt;=0,D144&lt;0),(3-1+(-D144)/E143)*12,0)+IF(AND(F144&gt;=0,E144&lt;0),(4-1+(-E144)/F143)*12,0)+IF(AND(G144&gt;=0,F144&lt;0),(5-1+(-F144)/G143)*12,0))</f>
        <v>not within 5 yrs</v>
      </c>
    </row>
    <row r="157" customFormat="false" ht="15" hidden="false" customHeight="false" outlineLevel="0" collapsed="false">
      <c r="A157" s="7" t="s">
        <v>449</v>
      </c>
      <c r="B157" s="28" t="n">
        <f aca="false">MIN(B139:G139)</f>
        <v>-1316500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8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9" min="2" style="0" width="18"/>
  </cols>
  <sheetData>
    <row r="1" customFormat="false" ht="17.35" hidden="false" customHeight="false" outlineLevel="0" collapsed="false">
      <c r="A1" s="1" t="s">
        <v>453</v>
      </c>
    </row>
    <row r="2" customFormat="false" ht="15" hidden="false" customHeight="false" outlineLevel="0" collapsed="false">
      <c r="A2" s="2" t="s">
        <v>454</v>
      </c>
    </row>
    <row r="4" customFormat="false" ht="15" hidden="false" customHeight="false" outlineLevel="0" collapsed="false">
      <c r="A4" s="6" t="s">
        <v>455</v>
      </c>
      <c r="B4" s="6" t="s">
        <v>456</v>
      </c>
      <c r="C4" s="6" t="s">
        <v>457</v>
      </c>
      <c r="D4" s="6" t="s">
        <v>458</v>
      </c>
      <c r="E4" s="6" t="s">
        <v>459</v>
      </c>
      <c r="F4" s="6" t="s">
        <v>460</v>
      </c>
      <c r="G4" s="6" t="s">
        <v>461</v>
      </c>
      <c r="H4" s="6" t="s">
        <v>462</v>
      </c>
      <c r="I4" s="6" t="s">
        <v>463</v>
      </c>
    </row>
    <row r="5" customFormat="false" ht="15" hidden="false" customHeight="false" outlineLevel="0" collapsed="false">
      <c r="A5" s="7" t="s">
        <v>54</v>
      </c>
      <c r="B5" s="7" t="s">
        <v>141</v>
      </c>
      <c r="C5" s="27" t="n">
        <v>269800</v>
      </c>
      <c r="D5" s="27" t="n">
        <v>359969.164272217</v>
      </c>
      <c r="E5" s="27" t="n">
        <v>-16265.2589783396</v>
      </c>
      <c r="F5" s="12" t="n">
        <v>0.765770323842324</v>
      </c>
      <c r="G5" s="12" t="n">
        <v>2.02435337549962</v>
      </c>
      <c r="H5" s="14" t="n">
        <v>11.266034600298</v>
      </c>
      <c r="I5" s="14" t="n">
        <v>12.8750935041217</v>
      </c>
    </row>
    <row r="6" customFormat="false" ht="15" hidden="false" customHeight="false" outlineLevel="0" collapsed="false">
      <c r="A6" s="7" t="s">
        <v>54</v>
      </c>
      <c r="B6" s="7" t="s">
        <v>142</v>
      </c>
      <c r="C6" s="27" t="n">
        <v>1193000</v>
      </c>
      <c r="D6" s="27" t="n">
        <v>-94635.6692933417</v>
      </c>
      <c r="E6" s="27" t="n">
        <v>-1068228.80283854</v>
      </c>
      <c r="F6" s="12" t="n">
        <v>0.0868380787793798</v>
      </c>
      <c r="G6" s="12" t="n">
        <v>0.26262979575199</v>
      </c>
      <c r="H6" s="14" t="n">
        <v>40.4071055353649</v>
      </c>
      <c r="I6" s="7" t="s">
        <v>464</v>
      </c>
    </row>
    <row r="7" customFormat="false" ht="15" hidden="false" customHeight="false" outlineLevel="0" collapsed="false">
      <c r="A7" s="7" t="s">
        <v>54</v>
      </c>
      <c r="B7" s="7" t="s">
        <v>143</v>
      </c>
      <c r="C7" s="27" t="n">
        <v>1927400</v>
      </c>
      <c r="D7" s="27" t="n">
        <v>-1255555.51891103</v>
      </c>
      <c r="E7" s="27" t="n">
        <v>-2429129.55235093</v>
      </c>
      <c r="F7" s="12" t="n">
        <v>-0.17607179129528</v>
      </c>
      <c r="G7" s="12" t="n">
        <v>-0.482356436997208</v>
      </c>
      <c r="H7" s="7" t="s">
        <v>464</v>
      </c>
      <c r="I7" s="7" t="s">
        <v>464</v>
      </c>
    </row>
    <row r="8" customFormat="false" ht="15" hidden="false" customHeight="false" outlineLevel="0" collapsed="false">
      <c r="A8" s="7" t="s">
        <v>54</v>
      </c>
      <c r="B8" s="7" t="s">
        <v>465</v>
      </c>
      <c r="C8" s="27" t="n">
        <v>1316500</v>
      </c>
      <c r="D8" s="27" t="n">
        <v>-106846.546219068</v>
      </c>
      <c r="E8" s="27" t="n">
        <v>-1097090.0971444</v>
      </c>
      <c r="F8" s="12" t="n">
        <v>0.0826489036060679</v>
      </c>
      <c r="G8" s="12" t="n">
        <v>0.226182880842988</v>
      </c>
      <c r="H8" s="14" t="n">
        <v>41.3913682283245</v>
      </c>
      <c r="I8" s="7" t="s">
        <v>464</v>
      </c>
    </row>
    <row r="9" customFormat="false" ht="15" hidden="false" customHeight="false" outlineLevel="0" collapsed="false">
      <c r="A9" s="7" t="s">
        <v>55</v>
      </c>
      <c r="B9" s="7" t="s">
        <v>141</v>
      </c>
      <c r="C9" s="27" t="n">
        <v>283000</v>
      </c>
      <c r="D9" s="27" t="n">
        <v>76364.8783433128</v>
      </c>
      <c r="E9" s="27" t="n">
        <v>-199682.85084396</v>
      </c>
      <c r="F9" s="12" t="n">
        <v>0.259235668372895</v>
      </c>
      <c r="G9" s="12" t="n">
        <v>0.62472727853466</v>
      </c>
      <c r="H9" s="14" t="n">
        <v>20.8895621067628</v>
      </c>
      <c r="I9" s="14" t="n">
        <v>24.13911094951</v>
      </c>
    </row>
    <row r="10" customFormat="false" ht="15" hidden="false" customHeight="false" outlineLevel="0" collapsed="false">
      <c r="A10" s="7" t="s">
        <v>55</v>
      </c>
      <c r="B10" s="7" t="s">
        <v>142</v>
      </c>
      <c r="C10" s="27" t="n">
        <v>1275000</v>
      </c>
      <c r="D10" s="27" t="n">
        <v>-921476.918661821</v>
      </c>
      <c r="E10" s="27" t="n">
        <v>-1619930.06551501</v>
      </c>
      <c r="F10" s="12" t="s">
        <v>466</v>
      </c>
      <c r="G10" s="12" t="n">
        <v>-0.603748502703548</v>
      </c>
      <c r="H10" s="7" t="s">
        <v>464</v>
      </c>
      <c r="I10" s="7" t="s">
        <v>464</v>
      </c>
    </row>
    <row r="11" customFormat="false" ht="15" hidden="false" customHeight="false" outlineLevel="0" collapsed="false">
      <c r="A11" s="7" t="s">
        <v>55</v>
      </c>
      <c r="B11" s="7" t="s">
        <v>143</v>
      </c>
      <c r="C11" s="27" t="n">
        <v>2099000</v>
      </c>
      <c r="D11" s="27" t="n">
        <v>-2326455.94698688</v>
      </c>
      <c r="E11" s="27" t="n">
        <v>-3168143.740137</v>
      </c>
      <c r="F11" s="12" t="s">
        <v>466</v>
      </c>
      <c r="G11" s="12" t="n">
        <v>-1.11897278953209</v>
      </c>
      <c r="H11" s="7" t="s">
        <v>464</v>
      </c>
      <c r="I11" s="7" t="s">
        <v>464</v>
      </c>
    </row>
    <row r="12" customFormat="false" ht="15" hidden="false" customHeight="false" outlineLevel="0" collapsed="false">
      <c r="A12" s="7" t="s">
        <v>55</v>
      </c>
      <c r="B12" s="7" t="s">
        <v>465</v>
      </c>
      <c r="C12" s="27" t="n">
        <v>1407500</v>
      </c>
      <c r="D12" s="27" t="n">
        <v>-946376.784095625</v>
      </c>
      <c r="E12" s="27" t="n">
        <v>-1663722.49676645</v>
      </c>
      <c r="F12" s="12" t="s">
        <v>466</v>
      </c>
      <c r="G12" s="12" t="n">
        <v>-0.566859241328612</v>
      </c>
      <c r="H12" s="7" t="s">
        <v>464</v>
      </c>
      <c r="I12" s="7" t="s">
        <v>464</v>
      </c>
    </row>
    <row r="13" customFormat="false" ht="15" hidden="false" customHeight="false" outlineLevel="0" collapsed="false">
      <c r="A13" s="7" t="s">
        <v>56</v>
      </c>
      <c r="B13" s="7" t="s">
        <v>141</v>
      </c>
      <c r="C13" s="27" t="n">
        <v>302800</v>
      </c>
      <c r="D13" s="27" t="n">
        <v>-174069.260264635</v>
      </c>
      <c r="E13" s="27" t="n">
        <v>-363875.880686777</v>
      </c>
      <c r="F13" s="12" t="s">
        <v>466</v>
      </c>
      <c r="G13" s="12" t="n">
        <v>-0.503288754318361</v>
      </c>
      <c r="H13" s="7" t="s">
        <v>464</v>
      </c>
      <c r="I13" s="7" t="s">
        <v>464</v>
      </c>
    </row>
    <row r="14" customFormat="false" ht="15" hidden="false" customHeight="false" outlineLevel="0" collapsed="false">
      <c r="A14" s="7" t="s">
        <v>56</v>
      </c>
      <c r="B14" s="7" t="s">
        <v>142</v>
      </c>
      <c r="C14" s="27" t="n">
        <v>1398000</v>
      </c>
      <c r="D14" s="27" t="n">
        <v>-1646339.30539791</v>
      </c>
      <c r="E14" s="27" t="n">
        <v>-2121130.77913638</v>
      </c>
      <c r="F14" s="12" t="s">
        <v>466</v>
      </c>
      <c r="G14" s="12" t="n">
        <v>-1.24297691549203</v>
      </c>
      <c r="H14" s="7" t="s">
        <v>464</v>
      </c>
      <c r="I14" s="7" t="s">
        <v>464</v>
      </c>
    </row>
    <row r="15" customFormat="false" ht="15" hidden="false" customHeight="false" outlineLevel="0" collapsed="false">
      <c r="A15" s="7" t="s">
        <v>56</v>
      </c>
      <c r="B15" s="7" t="s">
        <v>143</v>
      </c>
      <c r="C15" s="27" t="n">
        <v>2356400</v>
      </c>
      <c r="D15" s="27" t="n">
        <v>-3325292.3646928</v>
      </c>
      <c r="E15" s="27" t="n">
        <v>-3887692.53345037</v>
      </c>
      <c r="F15" s="12" t="s">
        <v>466</v>
      </c>
      <c r="G15" s="12" t="n">
        <v>-1.55613129800671</v>
      </c>
      <c r="H15" s="7" t="s">
        <v>464</v>
      </c>
      <c r="I15" s="7" t="s">
        <v>464</v>
      </c>
    </row>
    <row r="16" customFormat="false" ht="15" hidden="false" customHeight="false" outlineLevel="0" collapsed="false">
      <c r="A16" s="7" t="s">
        <v>56</v>
      </c>
      <c r="B16" s="7" t="s">
        <v>465</v>
      </c>
      <c r="C16" s="27" t="n">
        <v>1544000</v>
      </c>
      <c r="D16" s="27" t="n">
        <v>-1702919.20016235</v>
      </c>
      <c r="E16" s="27" t="n">
        <v>-2192941.39054535</v>
      </c>
      <c r="F16" s="12" t="s">
        <v>466</v>
      </c>
      <c r="G16" s="12" t="n">
        <v>-1.16234304589343</v>
      </c>
      <c r="H16" s="7" t="s">
        <v>464</v>
      </c>
      <c r="I16" s="7" t="s">
        <v>464</v>
      </c>
    </row>
    <row r="17" customFormat="false" ht="15" hidden="false" customHeight="false" outlineLevel="0" collapsed="false">
      <c r="A17" s="7" t="s">
        <v>467</v>
      </c>
      <c r="B17" s="7" t="s">
        <v>141</v>
      </c>
      <c r="C17" s="27" t="n">
        <v>250000</v>
      </c>
      <c r="D17" s="27" t="n">
        <v>917768.809229401</v>
      </c>
      <c r="E17" s="27" t="n">
        <v>447475.780166205</v>
      </c>
      <c r="F17" s="12" t="n">
        <v>1.52214164115017</v>
      </c>
      <c r="G17" s="12" t="n">
        <v>5.2728848952295</v>
      </c>
      <c r="H17" s="14" t="n">
        <v>7.27676934928483</v>
      </c>
      <c r="I17" s="14" t="n">
        <v>8.14998167119901</v>
      </c>
    </row>
    <row r="18" customFormat="false" ht="15" hidden="false" customHeight="false" outlineLevel="0" collapsed="false">
      <c r="A18" s="7" t="s">
        <v>467</v>
      </c>
      <c r="B18" s="7" t="s">
        <v>142</v>
      </c>
      <c r="C18" s="27" t="n">
        <v>1070000</v>
      </c>
      <c r="D18" s="27" t="n">
        <v>962508.659424752</v>
      </c>
      <c r="E18" s="27" t="n">
        <v>-99592.9408063692</v>
      </c>
      <c r="F18" s="12" t="n">
        <v>0.395008207850886</v>
      </c>
      <c r="G18" s="12" t="n">
        <v>1.70084262908087</v>
      </c>
      <c r="H18" s="14" t="n">
        <v>22.2470325482467</v>
      </c>
      <c r="I18" s="14" t="n">
        <v>26.1834796646496</v>
      </c>
    </row>
    <row r="19" customFormat="false" ht="15" hidden="false" customHeight="false" outlineLevel="0" collapsed="false">
      <c r="A19" s="7" t="s">
        <v>467</v>
      </c>
      <c r="B19" s="7" t="s">
        <v>143</v>
      </c>
      <c r="C19" s="27" t="n">
        <v>1670000</v>
      </c>
      <c r="D19" s="27" t="n">
        <v>513604.577372575</v>
      </c>
      <c r="E19" s="27" t="n">
        <v>-1079103.03943871</v>
      </c>
      <c r="F19" s="12" t="n">
        <v>0.211329352012591</v>
      </c>
      <c r="G19" s="12" t="n">
        <v>0.936211024219048</v>
      </c>
      <c r="H19" s="14" t="n">
        <v>33.1615355199759</v>
      </c>
      <c r="I19" s="14" t="n">
        <v>43.097067343248</v>
      </c>
    </row>
    <row r="20" customFormat="false" ht="15" hidden="false" customHeight="false" outlineLevel="0" collapsed="false">
      <c r="A20" s="7" t="s">
        <v>467</v>
      </c>
      <c r="B20" s="7" t="s">
        <v>465</v>
      </c>
      <c r="C20" s="27" t="n">
        <v>1180000</v>
      </c>
      <c r="D20" s="27" t="n">
        <v>1036971.14485907</v>
      </c>
      <c r="E20" s="27" t="n">
        <v>-47331.0118789048</v>
      </c>
      <c r="F20" s="12" t="n">
        <v>0.424335999677477</v>
      </c>
      <c r="G20" s="12" t="n">
        <v>1.60675998106841</v>
      </c>
      <c r="H20" s="14" t="n">
        <v>21.1975057798501</v>
      </c>
      <c r="I20" s="14" t="n">
        <v>23.9007870782372</v>
      </c>
    </row>
    <row r="22" customFormat="false" ht="15" hidden="false" customHeight="false" outlineLevel="0" collapsed="false">
      <c r="A22" s="3" t="s">
        <v>468</v>
      </c>
    </row>
    <row r="23" customFormat="false" ht="15" hidden="false" customHeight="false" outlineLevel="0" collapsed="false">
      <c r="A23" s="6" t="s">
        <v>469</v>
      </c>
      <c r="B23" s="6" t="s">
        <v>470</v>
      </c>
      <c r="C23" s="6" t="s">
        <v>141</v>
      </c>
      <c r="D23" s="6" t="s">
        <v>142</v>
      </c>
      <c r="E23" s="6" t="s">
        <v>143</v>
      </c>
      <c r="F23" s="6" t="s">
        <v>465</v>
      </c>
    </row>
    <row r="24" customFormat="false" ht="15" hidden="false" customHeight="false" outlineLevel="0" collapsed="false">
      <c r="B24" s="7" t="n">
        <v>0</v>
      </c>
      <c r="C24" s="27" t="n">
        <v>359969.164272217</v>
      </c>
      <c r="D24" s="27" t="n">
        <v>-94635.6692933417</v>
      </c>
      <c r="E24" s="27" t="n">
        <v>-1255555.51891103</v>
      </c>
      <c r="F24" s="27" t="n">
        <v>-106846.546219068</v>
      </c>
    </row>
    <row r="25" customFormat="false" ht="15" hidden="false" customHeight="false" outlineLevel="0" collapsed="false">
      <c r="B25" s="7" t="n">
        <v>3</v>
      </c>
      <c r="C25" s="27" t="n">
        <v>338248.662405576</v>
      </c>
      <c r="D25" s="27" t="n">
        <v>-213154.687054244</v>
      </c>
      <c r="E25" s="27" t="n">
        <v>-1391409.89073942</v>
      </c>
      <c r="F25" s="27" t="n">
        <v>-206017.094700586</v>
      </c>
    </row>
    <row r="26" customFormat="false" ht="15" hidden="false" customHeight="false" outlineLevel="0" collapsed="false">
      <c r="B26" s="7" t="n">
        <v>6</v>
      </c>
      <c r="C26" s="27" t="n">
        <v>316528.160538934</v>
      </c>
      <c r="D26" s="27" t="n">
        <v>-330290.468973401</v>
      </c>
      <c r="E26" s="27" t="n">
        <v>-1539820.58488811</v>
      </c>
      <c r="F26" s="27" t="n">
        <v>-304658.267886366</v>
      </c>
    </row>
    <row r="27" customFormat="false" ht="15" hidden="false" customHeight="false" outlineLevel="0" collapsed="false">
      <c r="B27" s="7" t="n">
        <v>9</v>
      </c>
      <c r="C27" s="27" t="n">
        <v>295094.775742423</v>
      </c>
      <c r="D27" s="27" t="n">
        <v>-445310.463003366</v>
      </c>
      <c r="E27" s="27" t="n">
        <v>-1693365.05615987</v>
      </c>
      <c r="F27" s="27" t="n">
        <v>-401424.198114802</v>
      </c>
    </row>
    <row r="28" customFormat="false" ht="15" hidden="false" customHeight="false" outlineLevel="0" collapsed="false">
      <c r="B28" s="7" t="n">
        <v>12</v>
      </c>
      <c r="C28" s="27" t="n">
        <v>273948.508016043</v>
      </c>
      <c r="D28" s="27" t="n">
        <v>-557950.195657989</v>
      </c>
      <c r="E28" s="27" t="n">
        <v>-1828498.96057141</v>
      </c>
      <c r="F28" s="27" t="n">
        <v>-496314.885385894</v>
      </c>
    </row>
    <row r="30" customFormat="false" ht="15" hidden="false" customHeight="false" outlineLevel="0" collapsed="false">
      <c r="A30" s="6" t="s">
        <v>58</v>
      </c>
      <c r="B30" s="6" t="s">
        <v>470</v>
      </c>
      <c r="C30" s="6" t="s">
        <v>141</v>
      </c>
      <c r="D30" s="6" t="s">
        <v>142</v>
      </c>
      <c r="E30" s="6" t="s">
        <v>143</v>
      </c>
      <c r="F30" s="6" t="s">
        <v>465</v>
      </c>
    </row>
    <row r="31" customFormat="false" ht="15" hidden="false" customHeight="false" outlineLevel="0" collapsed="false">
      <c r="B31" s="7" t="n">
        <v>0</v>
      </c>
      <c r="C31" s="27" t="n">
        <v>379769.164272217</v>
      </c>
      <c r="D31" s="27" t="n">
        <v>28364.3307066583</v>
      </c>
      <c r="E31" s="27" t="n">
        <v>-998155.51891103</v>
      </c>
      <c r="F31" s="27" t="n">
        <v>29653.4537809316</v>
      </c>
    </row>
    <row r="32" customFormat="false" ht="15" hidden="false" customHeight="false" outlineLevel="0" collapsed="false">
      <c r="B32" s="7" t="n">
        <v>0.15</v>
      </c>
      <c r="C32" s="27" t="n">
        <v>359969.164272217</v>
      </c>
      <c r="D32" s="27" t="n">
        <v>-94635.6692933417</v>
      </c>
      <c r="E32" s="27" t="n">
        <v>-1255555.51891103</v>
      </c>
      <c r="F32" s="27" t="n">
        <v>-106846.546219068</v>
      </c>
    </row>
    <row r="33" customFormat="false" ht="15" hidden="false" customHeight="false" outlineLevel="0" collapsed="false">
      <c r="B33" s="7" t="n">
        <v>0.3</v>
      </c>
      <c r="C33" s="27" t="n">
        <v>340169.164272217</v>
      </c>
      <c r="D33" s="27" t="n">
        <v>-217635.669293342</v>
      </c>
      <c r="E33" s="27" t="n">
        <v>-1512955.51891103</v>
      </c>
      <c r="F33" s="27" t="n">
        <v>-243346.546219068</v>
      </c>
    </row>
    <row r="34" customFormat="false" ht="15" hidden="false" customHeight="false" outlineLevel="0" collapsed="false">
      <c r="B34" s="7" t="n">
        <v>0.5</v>
      </c>
      <c r="C34" s="27" t="n">
        <v>313769.164272217</v>
      </c>
      <c r="D34" s="27" t="n">
        <v>-381635.669293342</v>
      </c>
      <c r="E34" s="27" t="n">
        <v>-1856155.51891103</v>
      </c>
      <c r="F34" s="27" t="n">
        <v>-425346.546219068</v>
      </c>
    </row>
    <row r="35" customFormat="false" ht="15" hidden="false" customHeight="false" outlineLevel="0" collapsed="false">
      <c r="B35" s="7" t="n">
        <v>0.75</v>
      </c>
      <c r="C35" s="27" t="n">
        <v>280769.164272217</v>
      </c>
      <c r="D35" s="27" t="n">
        <v>-586635.669293342</v>
      </c>
      <c r="E35" s="27" t="n">
        <v>-2285155.51891103</v>
      </c>
      <c r="F35" s="27" t="n">
        <v>-652846.546219068</v>
      </c>
    </row>
    <row r="37" customFormat="false" ht="15" hidden="false" customHeight="false" outlineLevel="0" collapsed="false">
      <c r="A37" s="6" t="s">
        <v>67</v>
      </c>
      <c r="B37" s="6" t="s">
        <v>470</v>
      </c>
      <c r="C37" s="6" t="s">
        <v>141</v>
      </c>
      <c r="D37" s="6" t="s">
        <v>142</v>
      </c>
      <c r="E37" s="6" t="s">
        <v>143</v>
      </c>
      <c r="F37" s="6" t="s">
        <v>465</v>
      </c>
    </row>
    <row r="38" customFormat="false" ht="15" hidden="false" customHeight="false" outlineLevel="0" collapsed="false">
      <c r="B38" s="7" t="n">
        <v>0.5</v>
      </c>
      <c r="C38" s="27" t="n">
        <v>-79885.9736351353</v>
      </c>
      <c r="D38" s="27" t="n">
        <v>-1196095.32706576</v>
      </c>
      <c r="E38" s="27" t="n">
        <v>-2538518.6087851</v>
      </c>
      <c r="F38" s="27" t="n">
        <v>-1252418.02743339</v>
      </c>
    </row>
    <row r="39" customFormat="false" ht="15" hidden="false" customHeight="false" outlineLevel="0" collapsed="false">
      <c r="B39" s="7" t="n">
        <v>0.75</v>
      </c>
      <c r="C39" s="27" t="n">
        <v>140041.595318541</v>
      </c>
      <c r="D39" s="27" t="n">
        <v>-645365.498179551</v>
      </c>
      <c r="E39" s="27" t="n">
        <v>-1897037.06384807</v>
      </c>
      <c r="F39" s="27" t="n">
        <v>-679632.286826227</v>
      </c>
    </row>
    <row r="40" customFormat="false" ht="15" hidden="false" customHeight="false" outlineLevel="0" collapsed="false">
      <c r="B40" s="7" t="n">
        <v>1</v>
      </c>
      <c r="C40" s="27" t="n">
        <v>359969.164272217</v>
      </c>
      <c r="D40" s="27" t="n">
        <v>-94635.6692933417</v>
      </c>
      <c r="E40" s="27" t="n">
        <v>-1255555.51891103</v>
      </c>
      <c r="F40" s="27" t="n">
        <v>-106846.546219068</v>
      </c>
    </row>
    <row r="41" customFormat="false" ht="15" hidden="false" customHeight="false" outlineLevel="0" collapsed="false">
      <c r="B41" s="7" t="n">
        <v>1.25</v>
      </c>
      <c r="C41" s="27" t="n">
        <v>579896.733225893</v>
      </c>
      <c r="D41" s="27" t="n">
        <v>456094.159592867</v>
      </c>
      <c r="E41" s="27" t="n">
        <v>-614073.973973992</v>
      </c>
      <c r="F41" s="27" t="n">
        <v>465939.19438809</v>
      </c>
    </row>
    <row r="42" customFormat="false" ht="15" hidden="false" customHeight="false" outlineLevel="0" collapsed="false">
      <c r="B42" s="7" t="n">
        <v>1.5</v>
      </c>
      <c r="C42" s="27" t="n">
        <v>799824.302179569</v>
      </c>
      <c r="D42" s="27" t="n">
        <v>1006823.98847908</v>
      </c>
      <c r="E42" s="27" t="n">
        <v>27407.5709630452</v>
      </c>
      <c r="F42" s="27" t="n">
        <v>1038724.93499525</v>
      </c>
    </row>
    <row r="44" customFormat="false" ht="15" hidden="false" customHeight="false" outlineLevel="0" collapsed="false">
      <c r="A44" s="6" t="s">
        <v>69</v>
      </c>
      <c r="B44" s="6" t="s">
        <v>470</v>
      </c>
      <c r="C44" s="6" t="s">
        <v>141</v>
      </c>
      <c r="D44" s="6" t="s">
        <v>142</v>
      </c>
      <c r="E44" s="6" t="s">
        <v>143</v>
      </c>
      <c r="F44" s="6" t="s">
        <v>465</v>
      </c>
    </row>
    <row r="45" customFormat="false" ht="15" hidden="false" customHeight="false" outlineLevel="0" collapsed="false">
      <c r="B45" s="7" t="n">
        <v>0</v>
      </c>
      <c r="C45" s="27" t="n">
        <v>378409.274983888</v>
      </c>
      <c r="D45" s="27" t="n">
        <v>-24227.973848781</v>
      </c>
      <c r="E45" s="27" t="n">
        <v>-1134856.61243464</v>
      </c>
      <c r="F45" s="27" t="n">
        <v>-36438.8507745077</v>
      </c>
    </row>
    <row r="46" customFormat="false" ht="15" hidden="false" customHeight="false" outlineLevel="0" collapsed="false">
      <c r="B46" s="7" t="n">
        <v>0.05</v>
      </c>
      <c r="C46" s="27" t="n">
        <v>359969.164272217</v>
      </c>
      <c r="D46" s="27" t="n">
        <v>-94635.6692933417</v>
      </c>
      <c r="E46" s="27" t="n">
        <v>-1255555.51891103</v>
      </c>
      <c r="F46" s="27" t="n">
        <v>-106846.546219068</v>
      </c>
    </row>
    <row r="47" customFormat="false" ht="15" hidden="false" customHeight="false" outlineLevel="0" collapsed="false">
      <c r="B47" s="7" t="n">
        <v>0.08</v>
      </c>
      <c r="C47" s="27" t="n">
        <v>348059.255739674</v>
      </c>
      <c r="D47" s="27" t="n">
        <v>-140109.865508506</v>
      </c>
      <c r="E47" s="27" t="n">
        <v>-1333511.28385131</v>
      </c>
      <c r="F47" s="27" t="n">
        <v>-152320.742434233</v>
      </c>
    </row>
    <row r="48" customFormat="false" ht="15" hidden="false" customHeight="false" outlineLevel="0" collapsed="false">
      <c r="B48" s="7" t="n">
        <v>0.12</v>
      </c>
      <c r="C48" s="27" t="n">
        <v>331136.251827149</v>
      </c>
      <c r="D48" s="27" t="n">
        <v>-204724.97135633</v>
      </c>
      <c r="E48" s="27" t="n">
        <v>-1444280.0367333</v>
      </c>
      <c r="F48" s="27" t="n">
        <v>-216935.848282057</v>
      </c>
    </row>
    <row r="50" customFormat="false" ht="15" hidden="false" customHeight="false" outlineLevel="0" collapsed="false">
      <c r="A50" s="6" t="s">
        <v>471</v>
      </c>
      <c r="B50" s="6" t="s">
        <v>470</v>
      </c>
      <c r="C50" s="6" t="s">
        <v>141</v>
      </c>
      <c r="D50" s="6" t="s">
        <v>142</v>
      </c>
      <c r="E50" s="6" t="s">
        <v>143</v>
      </c>
      <c r="F50" s="6" t="s">
        <v>465</v>
      </c>
    </row>
    <row r="51" customFormat="false" ht="15" hidden="false" customHeight="false" outlineLevel="0" collapsed="false">
      <c r="B51" s="7" t="n">
        <v>1</v>
      </c>
      <c r="C51" s="27" t="n">
        <v>359969.164272217</v>
      </c>
      <c r="D51" s="27" t="n">
        <v>-94635.6692933417</v>
      </c>
      <c r="E51" s="27" t="n">
        <v>-1255555.51891103</v>
      </c>
      <c r="F51" s="27" t="n">
        <v>-106846.546219068</v>
      </c>
    </row>
    <row r="52" customFormat="false" ht="15" hidden="false" customHeight="false" outlineLevel="0" collapsed="false">
      <c r="B52" s="7" t="n">
        <v>1.25</v>
      </c>
      <c r="C52" s="27" t="n">
        <v>345733.160018525</v>
      </c>
      <c r="D52" s="27" t="n">
        <v>-145552.221375182</v>
      </c>
      <c r="E52" s="27" t="n">
        <v>-1329851.51254846</v>
      </c>
      <c r="F52" s="27" t="n">
        <v>-158009.018223989</v>
      </c>
    </row>
    <row r="53" customFormat="false" ht="15" hidden="false" customHeight="false" outlineLevel="0" collapsed="false">
      <c r="B53" s="7" t="n">
        <v>1.5</v>
      </c>
      <c r="C53" s="27" t="n">
        <v>333860.482230538</v>
      </c>
      <c r="D53" s="27" t="n">
        <v>-196808.933460938</v>
      </c>
      <c r="E53" s="27" t="n">
        <v>-1416638.0815465</v>
      </c>
      <c r="F53" s="27" t="n">
        <v>-201760.278877795</v>
      </c>
    </row>
    <row r="54" customFormat="false" ht="15" hidden="false" customHeight="false" outlineLevel="0" collapsed="false">
      <c r="B54" s="7" t="n">
        <v>2</v>
      </c>
      <c r="C54" s="27" t="n">
        <v>306279.438473246</v>
      </c>
      <c r="D54" s="27" t="n">
        <v>-284241.648177966</v>
      </c>
      <c r="E54" s="27" t="n">
        <v>-1571120.96600533</v>
      </c>
      <c r="F54" s="27" t="n">
        <v>-284467.910447126</v>
      </c>
    </row>
    <row r="56" customFormat="false" ht="15" hidden="false" customHeight="false" outlineLevel="0" collapsed="false">
      <c r="A56" s="6" t="s">
        <v>73</v>
      </c>
      <c r="B56" s="6" t="s">
        <v>470</v>
      </c>
      <c r="C56" s="6" t="s">
        <v>141</v>
      </c>
      <c r="D56" s="6" t="s">
        <v>142</v>
      </c>
      <c r="E56" s="6" t="s">
        <v>143</v>
      </c>
      <c r="F56" s="6" t="s">
        <v>465</v>
      </c>
    </row>
    <row r="57" customFormat="false" ht="15" hidden="false" customHeight="false" outlineLevel="0" collapsed="false">
      <c r="B57" s="7" t="n">
        <v>0</v>
      </c>
      <c r="C57" s="27" t="n">
        <v>283608.330910575</v>
      </c>
      <c r="D57" s="27" t="n">
        <v>-244903.077933946</v>
      </c>
      <c r="E57" s="27" t="n">
        <v>-1412051.09216393</v>
      </c>
      <c r="F57" s="27" t="n">
        <v>-268989.862283873</v>
      </c>
    </row>
    <row r="58" customFormat="false" ht="15" hidden="false" customHeight="false" outlineLevel="0" collapsed="false">
      <c r="B58" s="7" t="n">
        <v>0.35</v>
      </c>
      <c r="C58" s="27" t="n">
        <v>359969.164272217</v>
      </c>
      <c r="D58" s="27" t="n">
        <v>-94635.6692933417</v>
      </c>
      <c r="E58" s="27" t="n">
        <v>-1255555.51891103</v>
      </c>
      <c r="F58" s="27" t="n">
        <v>-106846.546219068</v>
      </c>
    </row>
    <row r="59" customFormat="false" ht="15" hidden="false" customHeight="false" outlineLevel="0" collapsed="false">
      <c r="B59" s="7" t="n">
        <v>0.7</v>
      </c>
      <c r="C59" s="27" t="n">
        <v>436329.997633859</v>
      </c>
      <c r="D59" s="27" t="n">
        <v>55631.7393472627</v>
      </c>
      <c r="E59" s="27" t="n">
        <v>-1099059.94565813</v>
      </c>
      <c r="F59" s="27" t="n">
        <v>55296.7698457362</v>
      </c>
    </row>
    <row r="60" customFormat="false" ht="15" hidden="false" customHeight="false" outlineLevel="0" collapsed="false">
      <c r="B60" s="7" t="n">
        <v>1</v>
      </c>
      <c r="C60" s="27" t="n">
        <v>501782.140515267</v>
      </c>
      <c r="D60" s="27" t="n">
        <v>184432.375324924</v>
      </c>
      <c r="E60" s="27" t="n">
        <v>-964920.882869922</v>
      </c>
      <c r="F60" s="27" t="n">
        <v>194276.75504414</v>
      </c>
    </row>
    <row r="62" customFormat="false" ht="15" hidden="false" customHeight="false" outlineLevel="0" collapsed="false">
      <c r="A62" s="6" t="s">
        <v>71</v>
      </c>
      <c r="B62" s="6" t="s">
        <v>470</v>
      </c>
      <c r="C62" s="6" t="s">
        <v>141</v>
      </c>
      <c r="D62" s="6" t="s">
        <v>142</v>
      </c>
      <c r="E62" s="6" t="s">
        <v>143</v>
      </c>
      <c r="F62" s="6" t="s">
        <v>465</v>
      </c>
    </row>
    <row r="63" customFormat="false" ht="15" hidden="false" customHeight="false" outlineLevel="0" collapsed="false">
      <c r="B63" s="7" t="n">
        <v>0</v>
      </c>
      <c r="C63" s="27" t="n">
        <v>272744.849509887</v>
      </c>
      <c r="D63" s="27" t="n">
        <v>-332634.270422721</v>
      </c>
      <c r="E63" s="27" t="n">
        <v>-1545676.91078324</v>
      </c>
      <c r="F63" s="27" t="n">
        <v>-347785.234889544</v>
      </c>
    </row>
    <row r="64" customFormat="false" ht="15" hidden="false" customHeight="false" outlineLevel="0" collapsed="false">
      <c r="B64" s="7" t="n">
        <v>0.03</v>
      </c>
      <c r="C64" s="27" t="n">
        <v>359969.164272217</v>
      </c>
      <c r="D64" s="27" t="n">
        <v>-94635.6692933417</v>
      </c>
      <c r="E64" s="27" t="n">
        <v>-1255555.51891103</v>
      </c>
      <c r="F64" s="27" t="n">
        <v>-106846.546219068</v>
      </c>
    </row>
    <row r="65" customFormat="false" ht="15" hidden="false" customHeight="false" outlineLevel="0" collapsed="false">
      <c r="B65" s="7" t="n">
        <v>0.06</v>
      </c>
      <c r="C65" s="27" t="n">
        <v>455508.394432313</v>
      </c>
      <c r="D65" s="27" t="n">
        <v>166922.503686862</v>
      </c>
      <c r="E65" s="27" t="n">
        <v>-935758.72970227</v>
      </c>
      <c r="F65" s="27" t="n">
        <v>157673.942307716</v>
      </c>
    </row>
    <row r="66" customFormat="false" ht="15" hidden="false" customHeight="false" outlineLevel="0" collapsed="false">
      <c r="B66" s="7" t="n">
        <v>0.1</v>
      </c>
      <c r="C66" s="27" t="n">
        <v>596931.383408407</v>
      </c>
      <c r="D66" s="27" t="n">
        <v>555444.149561656</v>
      </c>
      <c r="E66" s="27" t="n">
        <v>-459208.847870196</v>
      </c>
      <c r="F66" s="27" t="n">
        <v>550179.919142036</v>
      </c>
    </row>
    <row r="68" customFormat="false" ht="15" hidden="false" customHeight="false" outlineLevel="0" collapsed="false">
      <c r="A68" s="3" t="s">
        <v>472</v>
      </c>
    </row>
    <row r="69" customFormat="false" ht="15" hidden="false" customHeight="false" outlineLevel="0" collapsed="false">
      <c r="A69" s="6" t="s">
        <v>473</v>
      </c>
      <c r="B69" s="6" t="s">
        <v>142</v>
      </c>
      <c r="C69" s="6" t="s">
        <v>465</v>
      </c>
    </row>
    <row r="70" customFormat="false" ht="15" hidden="false" customHeight="false" outlineLevel="0" collapsed="false">
      <c r="A70" s="7" t="s">
        <v>474</v>
      </c>
      <c r="B70" s="16" t="n">
        <v>1.04295920809516</v>
      </c>
      <c r="C70" s="16" t="n">
        <v>1.04663460463672</v>
      </c>
    </row>
    <row r="71" customFormat="false" ht="15" hidden="false" customHeight="false" outlineLevel="0" collapsed="false">
      <c r="A71" s="7" t="s">
        <v>475</v>
      </c>
      <c r="B71" s="16" t="n">
        <v>0.8811349649153</v>
      </c>
      <c r="C71" s="16" t="n">
        <v>0.863111262557922</v>
      </c>
    </row>
    <row r="72" customFormat="false" ht="15" hidden="false" customHeight="false" outlineLevel="0" collapsed="false">
      <c r="A72" s="7" t="s">
        <v>476</v>
      </c>
      <c r="B72" s="16" t="n">
        <v>0.899644041046297</v>
      </c>
      <c r="C72" s="16" t="n">
        <v>0.886695072938422</v>
      </c>
    </row>
    <row r="73" customFormat="false" ht="15" hidden="false" customHeight="false" outlineLevel="0" collapsed="false">
      <c r="A73" s="7" t="s">
        <v>477</v>
      </c>
      <c r="B73" s="14" t="n">
        <v>66.9913525540193</v>
      </c>
      <c r="C73" s="14" t="n">
        <v>66.8496776469991</v>
      </c>
    </row>
    <row r="75" customFormat="false" ht="15" hidden="false" customHeight="false" outlineLevel="0" collapsed="false">
      <c r="A75" s="3" t="s">
        <v>478</v>
      </c>
    </row>
    <row r="76" customFormat="false" ht="15" hidden="false" customHeight="false" outlineLevel="0" collapsed="false">
      <c r="A76" s="6" t="s">
        <v>479</v>
      </c>
      <c r="B76" s="6" t="s">
        <v>480</v>
      </c>
      <c r="C76" s="6" t="s">
        <v>458</v>
      </c>
      <c r="D76" s="6" t="s">
        <v>481</v>
      </c>
      <c r="E76" s="6" t="s">
        <v>462</v>
      </c>
    </row>
    <row r="77" customFormat="false" ht="15" hidden="false" customHeight="false" outlineLevel="0" collapsed="false">
      <c r="A77" s="14" t="s">
        <v>482</v>
      </c>
      <c r="B77" s="14" t="s">
        <v>142</v>
      </c>
      <c r="C77" s="27" t="n">
        <v>157101.573269089</v>
      </c>
      <c r="D77" s="12" t="n">
        <v>0.178335656076253</v>
      </c>
      <c r="E77" s="14" t="n">
        <v>27.3324536172553</v>
      </c>
    </row>
    <row r="78" customFormat="false" ht="15" hidden="false" customHeight="false" outlineLevel="0" collapsed="false">
      <c r="A78" s="14" t="s">
        <v>482</v>
      </c>
      <c r="B78" s="14" t="s">
        <v>465</v>
      </c>
      <c r="C78" s="27" t="n">
        <v>142658.553486219</v>
      </c>
      <c r="D78" s="12" t="n">
        <v>0.172620022795249</v>
      </c>
      <c r="E78" s="14" t="n">
        <v>28.3227591761699</v>
      </c>
    </row>
    <row r="79" customFormat="false" ht="15" hidden="false" customHeight="false" outlineLevel="0" collapsed="false">
      <c r="A79" s="14" t="s">
        <v>483</v>
      </c>
      <c r="B79" s="14" t="s">
        <v>142</v>
      </c>
      <c r="C79" s="27" t="n">
        <v>344750.230231339</v>
      </c>
      <c r="D79" s="12" t="n">
        <v>0.247286295266109</v>
      </c>
      <c r="E79" s="14" t="n">
        <v>22.6255434474625</v>
      </c>
    </row>
    <row r="80" customFormat="false" ht="15" hidden="false" customHeight="false" outlineLevel="0" collapsed="false">
      <c r="A80" s="14" t="s">
        <v>483</v>
      </c>
      <c r="B80" s="14" t="s">
        <v>465</v>
      </c>
      <c r="C80" s="27" t="n">
        <v>328426.561802025</v>
      </c>
      <c r="D80" s="12" t="n">
        <v>0.239608026115995</v>
      </c>
      <c r="E80" s="14" t="n">
        <v>22.6511170550608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8" min="2" style="0" width="12"/>
    <col collapsed="false" customWidth="true" hidden="false" outlineLevel="0" max="9" min="9" style="0" width="90"/>
  </cols>
  <sheetData>
    <row r="1" customFormat="false" ht="17.35" hidden="false" customHeight="false" outlineLevel="0" collapsed="false">
      <c r="A1" s="1" t="s">
        <v>484</v>
      </c>
    </row>
    <row r="2" customFormat="false" ht="15" hidden="false" customHeight="false" outlineLevel="0" collapsed="false">
      <c r="A2" s="2" t="s">
        <v>485</v>
      </c>
    </row>
    <row r="4" customFormat="false" ht="15" hidden="false" customHeight="false" outlineLevel="0" collapsed="false">
      <c r="A4" s="6" t="s">
        <v>486</v>
      </c>
      <c r="B4" s="6" t="s">
        <v>487</v>
      </c>
      <c r="C4" s="6" t="s">
        <v>488</v>
      </c>
      <c r="D4" s="6" t="s">
        <v>489</v>
      </c>
      <c r="E4" s="6" t="s">
        <v>490</v>
      </c>
      <c r="F4" s="6" t="s">
        <v>491</v>
      </c>
      <c r="G4" s="6" t="s">
        <v>492</v>
      </c>
      <c r="H4" s="6" t="s">
        <v>493</v>
      </c>
      <c r="I4" s="6" t="s">
        <v>494</v>
      </c>
    </row>
    <row r="5" customFormat="false" ht="31.5" hidden="false" customHeight="true" outlineLevel="0" collapsed="false">
      <c r="A5" s="7" t="s">
        <v>495</v>
      </c>
      <c r="B5" s="34" t="n">
        <v>0.86</v>
      </c>
      <c r="C5" s="35" t="n">
        <v>0.91</v>
      </c>
      <c r="D5" s="35" t="n">
        <v>0.96</v>
      </c>
      <c r="E5" s="35" t="n">
        <v>0.98</v>
      </c>
      <c r="F5" s="36" t="n">
        <v>0.9</v>
      </c>
      <c r="G5" s="36" t="n">
        <v>0.94</v>
      </c>
      <c r="H5" s="36" t="n">
        <v>0.95</v>
      </c>
      <c r="I5" s="4" t="s">
        <v>496</v>
      </c>
    </row>
    <row r="6" customFormat="false" ht="31.5" hidden="false" customHeight="true" outlineLevel="0" collapsed="false">
      <c r="A6" s="7" t="s">
        <v>497</v>
      </c>
      <c r="B6" s="7" t="n">
        <v>79</v>
      </c>
      <c r="C6" s="7" t="n">
        <v>74</v>
      </c>
      <c r="D6" s="7" t="n">
        <v>67</v>
      </c>
      <c r="E6" s="7" t="n">
        <v>60</v>
      </c>
      <c r="F6" s="37" t="n">
        <v>75</v>
      </c>
      <c r="G6" s="37" t="n">
        <v>68</v>
      </c>
      <c r="H6" s="37" t="n">
        <v>65</v>
      </c>
      <c r="I6" s="4" t="s">
        <v>498</v>
      </c>
    </row>
    <row r="7" customFormat="false" ht="31.5" hidden="false" customHeight="true" outlineLevel="0" collapsed="false">
      <c r="A7" s="7" t="s">
        <v>499</v>
      </c>
      <c r="B7" s="35" t="n">
        <v>0.87</v>
      </c>
      <c r="C7" s="35" t="n">
        <v>0.9</v>
      </c>
      <c r="D7" s="35" t="n">
        <v>0.94</v>
      </c>
      <c r="E7" s="35" t="n">
        <v>0.97</v>
      </c>
      <c r="F7" s="36" t="n">
        <v>0.89</v>
      </c>
      <c r="G7" s="36" t="n">
        <v>0.92</v>
      </c>
      <c r="H7" s="36" t="n">
        <v>0.94</v>
      </c>
      <c r="I7" s="4" t="s">
        <v>500</v>
      </c>
    </row>
    <row r="8" customFormat="false" ht="31.5" hidden="false" customHeight="true" outlineLevel="0" collapsed="false">
      <c r="A8" s="7" t="s">
        <v>501</v>
      </c>
      <c r="B8" s="7" t="n">
        <v>42</v>
      </c>
      <c r="C8" s="7" t="n">
        <v>34</v>
      </c>
      <c r="D8" s="7" t="n">
        <v>22</v>
      </c>
      <c r="E8" s="7" t="n">
        <v>16</v>
      </c>
      <c r="F8" s="37" t="n">
        <v>37</v>
      </c>
      <c r="G8" s="37" t="n">
        <v>27</v>
      </c>
      <c r="H8" s="37" t="n">
        <v>24</v>
      </c>
      <c r="I8" s="4" t="s">
        <v>502</v>
      </c>
    </row>
    <row r="9" customFormat="false" ht="31.5" hidden="false" customHeight="true" outlineLevel="0" collapsed="false">
      <c r="A9" s="7" t="s">
        <v>93</v>
      </c>
      <c r="B9" s="7" t="n">
        <v>260</v>
      </c>
      <c r="C9" s="7" t="n">
        <v>190</v>
      </c>
      <c r="D9" s="7" t="n">
        <v>95</v>
      </c>
      <c r="E9" s="7" t="n">
        <v>55</v>
      </c>
      <c r="F9" s="37" t="n">
        <v>215</v>
      </c>
      <c r="G9" s="37" t="n">
        <v>130</v>
      </c>
      <c r="H9" s="37" t="n">
        <v>100</v>
      </c>
      <c r="I9" s="4" t="s">
        <v>503</v>
      </c>
    </row>
    <row r="10" customFormat="false" ht="31.5" hidden="false" customHeight="true" outlineLevel="0" collapsed="false">
      <c r="A10" s="7" t="s">
        <v>504</v>
      </c>
      <c r="B10" s="35" t="n">
        <v>0.82</v>
      </c>
      <c r="C10" s="35" t="n">
        <v>0.86</v>
      </c>
      <c r="D10" s="35" t="n">
        <v>0.92</v>
      </c>
      <c r="E10" s="35" t="n">
        <v>0.96</v>
      </c>
      <c r="F10" s="36" t="n">
        <v>0.84</v>
      </c>
      <c r="G10" s="36" t="n">
        <v>0.89</v>
      </c>
      <c r="H10" s="36" t="n">
        <v>0.91</v>
      </c>
      <c r="I10" s="4" t="s">
        <v>505</v>
      </c>
    </row>
    <row r="11" customFormat="false" ht="31.5" hidden="false" customHeight="true" outlineLevel="0" collapsed="false">
      <c r="A11" s="7" t="s">
        <v>506</v>
      </c>
      <c r="B11" s="35" t="n">
        <v>0.046</v>
      </c>
      <c r="C11" s="35" t="n">
        <v>0.043</v>
      </c>
      <c r="D11" s="35" t="n">
        <v>0.037</v>
      </c>
      <c r="E11" s="35" t="n">
        <v>0.032</v>
      </c>
      <c r="F11" s="36" t="n">
        <v>0.046</v>
      </c>
      <c r="G11" s="36" t="n">
        <v>0.043</v>
      </c>
      <c r="H11" s="36" t="n">
        <v>0.041</v>
      </c>
      <c r="I11" s="4" t="s">
        <v>507</v>
      </c>
    </row>
    <row r="14" customFormat="false" ht="15" hidden="false" customHeight="false" outlineLevel="0" collapsed="false">
      <c r="A14" s="7" t="s">
        <v>508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2026-10-11T04:28:11Z</dcterms:created>
  <dc:creator>openpyxl</dc:creator>
  <dc:description/>
  <dc:language>en-US</dc:language>
  <cp:lastModifiedBy/>
  <dcterms:modified xsi:type="dcterms:W3CDTF">2026-10-11T04:28:11Z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