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Dashboard" sheetId="2" state="visible" r:id="rId4"/>
    <sheet name="Assumptions" sheetId="3" state="visible" r:id="rId5"/>
    <sheet name="Market_Sizing" sheetId="4" state="visible" r:id="rId6"/>
    <sheet name="Segmentation" sheetId="5" state="visible" r:id="rId7"/>
    <sheet name="Competitors" sheetId="6" state="visible" r:id="rId8"/>
    <sheet name="Model_A_Direct" sheetId="7" state="visible" r:id="rId9"/>
    <sheet name="Model_B_Partner" sheetId="8" state="visible" r:id="rId10"/>
    <sheet name="Model_C_Distributor" sheetId="9" state="visible" r:id="rId11"/>
    <sheet name="Model_B_Plus" sheetId="10" state="visible" r:id="rId12"/>
    <sheet name="IRR_Calc" sheetId="11" state="visible" r:id="rId13"/>
    <sheet name="Strategy_Compare" sheetId="12" state="visible" r:id="rId14"/>
    <sheet name="Sensitivity" sheetId="13" state="visible" r:id="rId15"/>
    <sheet name="Risk_Register" sheetId="14" state="visible" r:id="rId16"/>
    <sheet name="Roadmap" sheetId="15" state="visible" r:id="rId17"/>
    <sheet name="Sources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<sst xmlns="http://schemas.openxmlformats.org/spreadsheetml/2006/main" count="2670" uniqueCount="1218">
  <si>
    <t xml:space="preserve">Malaysia Market-Entry Feasibility Model</t>
  </si>
  <si>
    <t xml:space="preserve">Indian enterprise-software company entering Malaysia - three-year financial feasibility (RM)</t>
  </si>
  <si>
    <t xml:space="preserve">Prepared 13 October 2026 | Companion to the Market-Entry Consulting Report (PDF)</t>
  </si>
  <si>
    <t xml:space="preserve">PURPOSE</t>
  </si>
  <si>
    <t xml:space="preserve">Tests whether the Malaysian market justifies investment and which entry mode (A Direct subsidiary, B Local partnership, C Distributor-led) gives the best risk-adjusted return. Each mode is modelled in three scenarios (Downside / Base / Upside) with year-by-year revenue, cost, EBITDA, tax, cash flow, NPV and IRR.</t>
  </si>
  <si>
    <t xml:space="preserve">SHEET GUIDE</t>
  </si>
  <si>
    <t xml:space="preserve">Dashboard</t>
  </si>
  <si>
    <t xml:space="preserve">Decision panel, key metrics, scenarios, charts and integrity checks (all live).</t>
  </si>
  <si>
    <t xml:space="preserve">Assumptions</t>
  </si>
  <si>
    <t xml:space="preserve">Every driver: general, scenarios, pricing, entry-mode parameters, role costs, set-up costs, operating plans.</t>
  </si>
  <si>
    <t xml:space="preserve">Market_Sizing</t>
  </si>
  <si>
    <t xml:space="preserve">Bottom-up TAM / SAM / SOM funnel, growth projection and triangulation against the local market leader.</t>
  </si>
  <si>
    <t xml:space="preserve">Segmentation</t>
  </si>
  <si>
    <t xml:space="preserve">Sector facts, weighted vertical attractiveness scoring and customer-tier playbook.</t>
  </si>
  <si>
    <t xml:space="preserve">Competitors</t>
  </si>
  <si>
    <t xml:space="preserve">Weighted capability benchmark of 10 competitors vs. the client's Day-1 and Year-3 positions, plus sourced profiles.</t>
  </si>
  <si>
    <t xml:space="preserve">Model_A / B / C / B+</t>
  </si>
  <si>
    <t xml:space="preserve">Driver-based 3-year models (volume, revenue, costs, P&amp;L, tax losses, working capital, FCF) plus Year 4-6 growth fade, terminal value, NPV, IRR; three scenario blocks.</t>
  </si>
  <si>
    <t xml:space="preserve">IRR_Calc</t>
  </si>
  <si>
    <t xml:space="preserve">Support sheet: Year 0-6 cash-flow streams used for IRR.</t>
  </si>
  <si>
    <t xml:space="preserve">Strategy_Compare</t>
  </si>
  <si>
    <t xml:space="preserve">Entry-mode definitions, financial comparison, risk-adjusted NPV and weighted strategic scorecard -&gt; recommendation.</t>
  </si>
  <si>
    <t xml:space="preserve">Sensitivity</t>
  </si>
  <si>
    <t xml:space="preserve">Live WACC x growth grids and FX table; static tornado and break-even snapshots with staleness flag.</t>
  </si>
  <si>
    <t xml:space="preserve">Risk_Register</t>
  </si>
  <si>
    <t xml:space="preserve">26 risks scored inherent and residual with mitigation, owners, KPIs, category summary and heat map.</t>
  </si>
  <si>
    <t xml:space="preserve">Roadmap</t>
  </si>
  <si>
    <t xml:space="preserve">Gantt (auto-filled) and stage-gate capital-release criteria linked to model values.</t>
  </si>
  <si>
    <t xml:space="preserve">Sources</t>
  </si>
  <si>
    <t xml:space="preserve">Evidence list with reliability grading and the judgement register with Phase-0 validation plan.</t>
  </si>
  <si>
    <t xml:space="preserve">COLOUR CODE</t>
  </si>
  <si>
    <t xml:space="preserve">Blue text</t>
  </si>
  <si>
    <t xml:space="preserve">Hard-coded input or judgement - safe to change</t>
  </si>
  <si>
    <t xml:space="preserve">Black text</t>
  </si>
  <si>
    <t xml:space="preserve">Formula / calculation - do not overwrite</t>
  </si>
  <si>
    <t xml:space="preserve">Green text</t>
  </si>
  <si>
    <t xml:space="preserve">Direct link to another sheet</t>
  </si>
  <si>
    <t xml:space="preserve">Yellow fill</t>
  </si>
  <si>
    <t xml:space="preserve">Key value-driving assumption - validate first</t>
  </si>
  <si>
    <t xml:space="preserve">IMPORTANT CAVEATS</t>
  </si>
  <si>
    <t xml:space="preserve">1. The client is an ILLUSTRATIVE profile (mid-sized Indian ERP vendor). Replace the risk-appetite placeholder and cost/pricing assumptions with client actuals.</t>
  </si>
  <si>
    <t xml:space="preserve">2. Official data (DOSM establishments, GDP, tax rates, regulatory dates) are sourced; the market funnel percentages, sales productivity, ACVs and scenario probabilities are consultant judgements flagged on the Sources sheet.</t>
  </si>
  <si>
    <t xml:space="preserve">3. NPV incl. value beyond Year 3 depends heavily on Year-3 ARR and the fade assumptions; always read it alongside the explicit 3-year NPV, the no-fade memo NPV and peak funding.</t>
  </si>
  <si>
    <t xml:space="preserve">4. Regulatory and tax points are summarised for decision support and are not legal or tax advice; confirm with Malaysian counsel and LHDN/RMCD/MDEC primary sources.</t>
  </si>
  <si>
    <t xml:space="preserve">Executive Dashboard - Malaysia Market Entry (Base case; RM m unless stated)</t>
  </si>
  <si>
    <t xml:space="preserve">Everything on this page is a live link. Change inputs on the Assumptions sheet and the recommendation recalculates.</t>
  </si>
  <si>
    <t xml:space="preserve">DECISION PANEL</t>
  </si>
  <si>
    <t xml:space="preserve">Recommended entry mode (scorecard winner)</t>
  </si>
  <si>
    <t xml:space="preserve">Test</t>
  </si>
  <si>
    <t xml:space="preserve">Recommended mode - as drawn</t>
  </si>
  <si>
    <t xml:space="preserve">Option B+ - conditions precedent secured</t>
  </si>
  <si>
    <t xml:space="preserve">Base-case NPV (RM m)</t>
  </si>
  <si>
    <t xml:space="preserve">Risk-adjusted NPV (RM m)</t>
  </si>
  <si>
    <t xml:space="preserve">Stage-gate-adjusted risk-adjusted NPV (RM m)</t>
  </si>
  <si>
    <t xml:space="preserve">Peak cash at risk incl. Year 4-6 fade (RM m)</t>
  </si>
  <si>
    <t xml:space="preserve">Risk-adjusted NPV (INR crore)</t>
  </si>
  <si>
    <t xml:space="preserve">Condition-weighted expected NPV of plan (RM m)</t>
  </si>
  <si>
    <t xml:space="preserve">n/a</t>
  </si>
  <si>
    <t xml:space="preserve">Parent's cash-at-risk appetite (RM m, placeholder)</t>
  </si>
  <si>
    <t xml:space="preserve">Rule-based verdict</t>
  </si>
  <si>
    <t xml:space="preserve">Decision statement</t>
  </si>
  <si>
    <t xml:space="preserve">Rule: GO = risk-adjusted NPV &gt; 0 within appetite. CONDITIONAL GO = stage-gate-adjusted risk-adjusted NPV and Base NPV &gt; 0 within appetite (B+ column: condition-weighted NPV &gt; 0). Otherwise NO-GO.</t>
  </si>
  <si>
    <t xml:space="preserve">BASE-CASE KEY METRICS BY ENTRY MODE</t>
  </si>
  <si>
    <t xml:space="preserve">Metric</t>
  </si>
  <si>
    <t xml:space="preserve">Option A: Direct</t>
  </si>
  <si>
    <t xml:space="preserve">Option B: Partner</t>
  </si>
  <si>
    <t xml:space="preserve">Option C: Distributor</t>
  </si>
  <si>
    <t xml:space="preserve">Option B+: Partner + conditions</t>
  </si>
  <si>
    <t xml:space="preserve">Cumulative revenue Y1-3</t>
  </si>
  <si>
    <t xml:space="preserve">Year-3 revenue</t>
  </si>
  <si>
    <t xml:space="preserve">Year-3 closing net ARR</t>
  </si>
  <si>
    <t xml:space="preserve">Year-3 closing customers (#)</t>
  </si>
  <si>
    <t xml:space="preserve">Year-3 EBITDA</t>
  </si>
  <si>
    <t xml:space="preserve">Year-3 EBITDA margin</t>
  </si>
  <si>
    <t xml:space="preserve">First year with positive EBITDA</t>
  </si>
  <si>
    <t xml:space="preserve">Peak funding within Years 0-3</t>
  </si>
  <si>
    <t xml:space="preserve">Peak funding incl. Year 4-6 fade (cash at risk)</t>
  </si>
  <si>
    <t xml:space="preserve">Cash out by end of Year 1</t>
  </si>
  <si>
    <t xml:space="preserve">NPV - explicit 3 years only</t>
  </si>
  <si>
    <t xml:space="preserve">PV of value beyond Year 3 (fade + TV)</t>
  </si>
  <si>
    <t xml:space="preserve">NPV incl. value beyond Year 3</t>
  </si>
  <si>
    <t xml:space="preserve">Memo: NPV with no-fade conservative TV</t>
  </si>
  <si>
    <t xml:space="preserve">IRR incl. value beyond Year 3</t>
  </si>
  <si>
    <t xml:space="preserve">Profitability index (NPV / peak funding)</t>
  </si>
  <si>
    <t xml:space="preserve">NPV (INR crore)</t>
  </si>
  <si>
    <t xml:space="preserve">SCENARIOS, RISK-ADJUSTED VALUE &amp; STRATEGIC SCORE</t>
  </si>
  <si>
    <t xml:space="preserve">NPV - Downside</t>
  </si>
  <si>
    <t xml:space="preserve">NPV - Base</t>
  </si>
  <si>
    <t xml:space="preserve">NPV - Upside</t>
  </si>
  <si>
    <t xml:space="preserve">Probability of Downside</t>
  </si>
  <si>
    <t xml:space="preserve">Probability of Base</t>
  </si>
  <si>
    <t xml:space="preserve">Probability of Upside</t>
  </si>
  <si>
    <t xml:space="preserve">RISK-ADJUSTED NPV</t>
  </si>
  <si>
    <t xml:space="preserve">STAGE-GATE-ADJUSTED RISK-ADJUSTED NPV</t>
  </si>
  <si>
    <t xml:space="preserve">Probability of negative NPV</t>
  </si>
  <si>
    <t xml:space="preserve">Expected peak funding</t>
  </si>
  <si>
    <t xml:space="preserve">Worst-case cash at risk (Downside peak)</t>
  </si>
  <si>
    <t xml:space="preserve">Weighted strategic score (of 5; A-C only)</t>
  </si>
  <si>
    <t xml:space="preserve">Rank (A-C)</t>
  </si>
  <si>
    <t xml:space="preserve">CHART DATA (Base case, RM m)</t>
  </si>
  <si>
    <t xml:space="preserve">Revenue by year</t>
  </si>
  <si>
    <t xml:space="preserve">Year 1</t>
  </si>
  <si>
    <t xml:space="preserve">Year 2</t>
  </si>
  <si>
    <t xml:space="preserve">Year 3</t>
  </si>
  <si>
    <t xml:space="preserve">Cumulative free cash flow</t>
  </si>
  <si>
    <t xml:space="preserve">Year 0</t>
  </si>
  <si>
    <t xml:space="preserve">NPV by scenario</t>
  </si>
  <si>
    <t xml:space="preserve">Downside</t>
  </si>
  <si>
    <t xml:space="preserve">Base</t>
  </si>
  <si>
    <t xml:space="preserve">Upside</t>
  </si>
  <si>
    <t xml:space="preserve">MODEL INTEGRITY CHECKS</t>
  </si>
  <si>
    <t xml:space="preserve">Scenario probabilities sum to 100% (all modes)</t>
  </si>
  <si>
    <t xml:space="preserve">NPV computed two ways agrees (all modes, Base)</t>
  </si>
  <si>
    <t xml:space="preserve">Scorecard weights sum to 100%</t>
  </si>
  <si>
    <t xml:space="preserve">Segmentation and competitor criteria weights sum to 100%</t>
  </si>
  <si>
    <t xml:space="preserve">Sensitivity snapshot is current</t>
  </si>
  <si>
    <t xml:space="preserve">Assumptions &amp; Inputs</t>
  </si>
  <si>
    <t xml:space="preserve">All model drivers live here. Blue = hard-coded input (change freely) | Black = formula | Green = link to another sheet | Yellow fill = key value-driving assumption. Currency: Malaysian Ringgit (RM) unless stated.</t>
  </si>
  <si>
    <t xml:space="preserve">1. GENERAL, FINANCIAL &amp; TAX PARAMETERS</t>
  </si>
  <si>
    <t xml:space="preserve">Driver</t>
  </si>
  <si>
    <t xml:space="preserve">Unit</t>
  </si>
  <si>
    <t xml:space="preserve">Value</t>
  </si>
  <si>
    <t xml:space="preserve">Basis / source / rationale</t>
  </si>
  <si>
    <t xml:space="preserve">FX rate: INR per 1 MYR</t>
  </si>
  <si>
    <t xml:space="preserve">INR/RM</t>
  </si>
  <si>
    <t xml:space="preserve">Mid-market ~23.3-23.6 INR per MYR in Jul-Aug 2026; 52-week range 20.72-24.39 (xe/valutafx data). Used only to translate RM outputs into INR crore for the Indian parent.</t>
  </si>
  <si>
    <t xml:space="preserve">Discount rate (WACC, RM cash flows)</t>
  </si>
  <si>
    <t xml:space="preserve">%</t>
  </si>
  <si>
    <t xml:space="preserve">Assumption: Malaysian risk-free (OPR 2.75%) + equity premium + country-entry/small-scale premium for a technology start-up subsidiary. Sensitised 10%-16%.</t>
  </si>
  <si>
    <t xml:space="preserve">Terminal growth rate</t>
  </si>
  <si>
    <t xml:space="preserve">Conservative vs. Malaysia long-run nominal GDP growth (BNM 2026 real GDP guidance 4-5%).</t>
  </si>
  <si>
    <t xml:space="preserve">Terminal-value haircut (execution / illiquidity), applied to TV only</t>
  </si>
  <si>
    <t xml:space="preserve">Judgement: 20% haircut because a Year-3 subsidiary is sub-scale and not yet proven at steady state. Sensitised 0%-40%.</t>
  </si>
  <si>
    <t xml:space="preserve">Valuation beyond Year 3: use growth-and-margin fade, Years 4-6 (1 = yes; 0 = immediate steady state at Year 3)</t>
  </si>
  <si>
    <t xml:space="preserve">switch</t>
  </si>
  <si>
    <t xml:space="preserve">Year-3 ARR is still growing &gt;100% y/y, so dropping growth to 3% in Year 4 would undervalue the business. Fade = ARR growth decays each year while EBITDA margin converges linearly to the steady-state margin by Year 6; terminal value is struck at end of Year 6. Set 0 for the conservative no-fade bound.</t>
  </si>
  <si>
    <t xml:space="preserve">Annual decay factor applied to ARR growth in Years 4-6</t>
  </si>
  <si>
    <t xml:space="preserve">x</t>
  </si>
  <si>
    <t xml:space="preserve">Year-4 growth = capped Year-3 growth x 0.60; Year-5 = Year-4 x 0.60; etc.</t>
  </si>
  <si>
    <t xml:space="preserve">Cap on Year-3 ARR growth used as the fade starting point</t>
  </si>
  <si>
    <t xml:space="preserve">Prevents extrapolating triple-digit start-up growth. With 0.60 decay: ~36% / 22% / 13% growth in Years 4 / 5 / 6.</t>
  </si>
  <si>
    <t xml:space="preserve">Terminal reinvestment (capex + working capital) as % of NOPAT</t>
  </si>
  <si>
    <t xml:space="preserve">Asset-light SaaS/services operation.</t>
  </si>
  <si>
    <t xml:space="preserve">Malaysian corporate income tax rate</t>
  </si>
  <si>
    <t xml:space="preserve">Standard CIT 24%; reduced SME rates generally unavailable where foreign ownership &gt;=20% or paid-up capital &gt;RM2.5m (ASEAN Briefing; tax guides).</t>
  </si>
  <si>
    <t xml:space="preserve">Apply Malaysia Digital (MD) reduced tax rate? (1 = yes, 0 = no)</t>
  </si>
  <si>
    <t xml:space="preserve">Base case = 0 (not assumed, subject to MDEC approval). MDEC offers 0% (IP income) and 5%/10% (non-IP income) for up to 10 years under the New Investment incentive.</t>
  </si>
  <si>
    <t xml:space="preserve">Reduced tax rate if MD incentive applied</t>
  </si>
  <si>
    <t xml:space="preserve">10% non-IP rate used (conservative end of 5%-10%).</t>
  </si>
  <si>
    <t xml:space="preserve">Service tax (SST) rate - memo only; pass-through, excluded from revenue</t>
  </si>
  <si>
    <t xml:space="preserve">8% service tax applies to taxable IT/digital services (incl. SaaS from foreign providers above RM500k). Revenue in this model is stated net of SST.</t>
  </si>
  <si>
    <t xml:space="preserve">Employer statutory &amp; benefits load (EPF, SOCSO, EIS, HRD levy etc.)</t>
  </si>
  <si>
    <t xml:space="preserve">Assumption; EPF employer 12-13% plus SOCSO/EIS/HRD Corp.</t>
  </si>
  <si>
    <t xml:space="preserve">Salary months paid per year (incl. 1 month bonus)</t>
  </si>
  <si>
    <t xml:space="preserve">months</t>
  </si>
  <si>
    <t xml:space="preserve">Assumption.</t>
  </si>
  <si>
    <t xml:space="preserve">Annual wage / cost inflation</t>
  </si>
  <si>
    <t xml:space="preserve">Assumption; Malaysia tech wage growth ~4-5%.</t>
  </si>
  <si>
    <t xml:space="preserve">Annual list-price escalation</t>
  </si>
  <si>
    <t xml:space="preserve">Assumption; inflation-linked renewals.</t>
  </si>
  <si>
    <t xml:space="preserve">Blended annual ACV uplift from module attach / extra users</t>
  </si>
  <si>
    <t xml:space="preserve">Assumption. Applied to the whole base for simplicity, so set below the true installed-base expansion rate (~5-6%) because new logos land at list price. Payroll, HRMS, analytics modules.</t>
  </si>
  <si>
    <t xml:space="preserve">Receivable days (DSO)</t>
  </si>
  <si>
    <t xml:space="preserve">days</t>
  </si>
  <si>
    <t xml:space="preserve">Malaysian SME payment behaviour; mid-market 60 days.</t>
  </si>
  <si>
    <t xml:space="preserve">Deferred revenue as % of net subscription revenue</t>
  </si>
  <si>
    <t xml:space="preserve">Annual-in-advance billing for mid-market; monthly for starter tier.</t>
  </si>
  <si>
    <t xml:space="preserve">Payable days (non-payroll costs)</t>
  </si>
  <si>
    <t xml:space="preserve">Capex per net new Malaysia-based FTE</t>
  </si>
  <si>
    <t xml:space="preserve">RM</t>
  </si>
  <si>
    <t xml:space="preserve">Laptop, furniture, fit-out in serviced office.</t>
  </si>
  <si>
    <t xml:space="preserve">Depreciation life</t>
  </si>
  <si>
    <t xml:space="preserve">years</t>
  </si>
  <si>
    <t xml:space="preserve">Straight-line.</t>
  </si>
  <si>
    <t xml:space="preserve">Bad-debt provision as % of revenue</t>
  </si>
  <si>
    <t xml:space="preserve">Contingency on operating expenses</t>
  </si>
  <si>
    <t xml:space="preserve">Assumption; new-market cost overrun allowance.</t>
  </si>
  <si>
    <t xml:space="preserve">Hosting &amp; third-party cost as % of net subscription revenue</t>
  </si>
  <si>
    <t xml:space="preserve">In-country cloud region (data-residency comfort), MyInvois/API gateway, payment &amp; SMS costs.</t>
  </si>
  <si>
    <t xml:space="preserve">Facilities &amp; IT cost per Malaysia-based FTE per year</t>
  </si>
  <si>
    <t xml:space="preserve">Serviced office in Klang Valley (~RM2,000 per seat per month).</t>
  </si>
  <si>
    <t xml:space="preserve">Stage-gate effectiveness: probability a Downside is detected and stopped at Gate 2 (end of Year 1)</t>
  </si>
  <si>
    <t xml:space="preserve">Judgement. Stopping at Gate 2 caps the loss at the Year 0-1 cash outflow plus wind-down cost. Applied equally to all entry modes.</t>
  </si>
  <si>
    <t xml:space="preserve">Wind-down / exit cost as % of Year 0-1 cash outflow</t>
  </si>
  <si>
    <t xml:space="preserve">Severance, contract exits, entity closure.</t>
  </si>
  <si>
    <t xml:space="preserve">Probability that ALL four Option B+ conditions precedent are secured by Gate 2</t>
  </si>
  <si>
    <t xml:space="preserve">Judgement (deliberately a coin-flip). If conditions are not secured, the outcome is Option B as drawn with stage-gate stopping.</t>
  </si>
  <si>
    <t xml:space="preserve">Parent's risk appetite: maximum cumulative cash at risk (placeholder)</t>
  </si>
  <si>
    <t xml:space="preserve">PLACEHOLDER - replace with the client's Board-approved envelope. Used only for the verdict flag on the Dashboard.</t>
  </si>
  <si>
    <t xml:space="preserve">2. SCENARIOS (multipliers applied to the Base driver set)</t>
  </si>
  <si>
    <t xml:space="preserve">New-logo volume multiplier</t>
  </si>
  <si>
    <t xml:space="preserve">Downside: slower trust-building, partner under-performance, incumbents discount. Upside: e-invoicing / grant tailwind and strong referrals.</t>
  </si>
  <si>
    <t xml:space="preserve">Price realisation multiplier (ACV)</t>
  </si>
  <si>
    <t xml:space="preserve">Downside reflects discounting against AutoCount/SQL/Zoho; upside reflects module attach.</t>
  </si>
  <si>
    <t xml:space="preserve">Logo churn adjustment (added to segment churn)</t>
  </si>
  <si>
    <t xml:space="preserve">pts</t>
  </si>
  <si>
    <t xml:space="preserve">Downside: higher SME churn.</t>
  </si>
  <si>
    <t xml:space="preserve">Operating-cost multiplier</t>
  </si>
  <si>
    <t xml:space="preserve">Downside: cost overruns (wage inflation, longer sales cycles).</t>
  </si>
  <si>
    <t xml:space="preserve">Scenario probability - Option A (Direct)</t>
  </si>
  <si>
    <t xml:space="preserve">Judgement: greatest downside probability because brand, references and trust must be built from zero.</t>
  </si>
  <si>
    <t xml:space="preserve">Scenario probability - Option B (Partnership)</t>
  </si>
  <si>
    <t xml:space="preserve">Judgement: partner credibility and installed base de-risk early traction.</t>
  </si>
  <si>
    <t xml:space="preserve">Scenario probability - Option C (Distributor)</t>
  </si>
  <si>
    <t xml:space="preserve">Judgement: dealer inertia vs. incumbent-loyal dealers (AutoCount alone cites ~300 dealers).</t>
  </si>
  <si>
    <t xml:space="preserve">Scenario probability - Option B+ (same as Option B)</t>
  </si>
  <si>
    <t xml:space="preserve">Conditions precedent change the economics, not the odds: probabilities are held equal to Option B to stay conservative.</t>
  </si>
  <si>
    <t xml:space="preserve">3. CUSTOMER SEGMENTS: PRICING &amp; SERVICE ECONOMICS</t>
  </si>
  <si>
    <t xml:space="preserve">Mid-market</t>
  </si>
  <si>
    <t xml:space="preserve">Core SME</t>
  </si>
  <si>
    <t xml:space="preserve">Starter</t>
  </si>
  <si>
    <t xml:space="preserve">Annual contract value per customer (ACV, net of discounts)</t>
  </si>
  <si>
    <t xml:space="preserve">Mid-market ~20-30 users incl. finance/inventory/manufacturing; Core SME ~8-12 users; Starter ~3-5 users. Benchmarks: Malaysian ERP total cost RM10k-150k+ (buyer guides); Dynamics 365 from ~US$65/user/month; AutoCount packages ~S$5-17k (PSG listings).</t>
  </si>
  <si>
    <t xml:space="preserve">Implementation &amp; onboarding fee per new customer</t>
  </si>
  <si>
    <t xml:space="preserve">Roughly 60% / 55% / 31% of ACV.</t>
  </si>
  <si>
    <t xml:space="preserve">Support &amp; customer-success cost per average customer per year</t>
  </si>
  <si>
    <t xml:space="preserve">Before channel offset (see Section 4).</t>
  </si>
  <si>
    <t xml:space="preserve">4. ENTRY-MODE PARAMETERS (A = Direct subsidiary | B = Partnership | C = Distributor-led)</t>
  </si>
  <si>
    <t xml:space="preserve">A: Direct</t>
  </si>
  <si>
    <t xml:space="preserve">B: Partner</t>
  </si>
  <si>
    <t xml:space="preserve">C: Distributor</t>
  </si>
  <si>
    <t xml:space="preserve">Channel margin on subscription revenue</t>
  </si>
  <si>
    <t xml:space="preserve">Revenue-share/reseller margin retained by partner/dealer. Distributors typically require higher margin (volume, L1 support, collections).</t>
  </si>
  <si>
    <t xml:space="preserve">Share of implementation revenue delivered (and retained) by the Company</t>
  </si>
  <si>
    <t xml:space="preserve">A: Company implements. B: Company handles complex mid-market work with partner. C: dealers implement; Company earns training/certification only.</t>
  </si>
  <si>
    <t xml:space="preserve">Gross margin on own-delivered services</t>
  </si>
  <si>
    <t xml:space="preserve">Consulting-style utilisation.</t>
  </si>
  <si>
    <t xml:space="preserve">Sales commission / incentive as % of first-year ACV of new logos</t>
  </si>
  <si>
    <t xml:space="preserve">A: AE commission. B/C: channel-manager incentives.</t>
  </si>
  <si>
    <t xml:space="preserve">Partner/dealer enablement &amp; certification revenue per active partner per year</t>
  </si>
  <si>
    <t xml:space="preserve">Training, certification and onboarding fees.</t>
  </si>
  <si>
    <t xml:space="preserve">Support-cost factor (share of support borne by the Company)</t>
  </si>
  <si>
    <t xml:space="preserve">Partners/dealers provide L1 support in B and C.</t>
  </si>
  <si>
    <t xml:space="preserve">Deals per seller-year: Mid-market</t>
  </si>
  <si>
    <t xml:space="preserve">deals</t>
  </si>
  <si>
    <t xml:space="preserve">Seller = AE (A) / active certified partner (B) / active dealer (C). ERP sales cycles 4-9 months; direct AE steady state 3-4 deals; SI partner ~1-2; SME dealer rarely closes mid-market.</t>
  </si>
  <si>
    <t xml:space="preserve">Deals per seller-year: Core SME</t>
  </si>
  <si>
    <t xml:space="preserve">Judgement from channel benchmarks; to be validated with 10 partner interviews in Phase 0.</t>
  </si>
  <si>
    <t xml:space="preserve">Deals per seller-year: Starter</t>
  </si>
  <si>
    <t xml:space="preserve">Dealers sell what they can implement; incumbents hold dealer mindshare.</t>
  </si>
  <si>
    <t xml:space="preserve">Annual logo churn: Mid-market</t>
  </si>
  <si>
    <t xml:space="preserve">Mid-market ERP is sticky once live.</t>
  </si>
  <si>
    <t xml:space="preserve">Annual logo churn: Core SME</t>
  </si>
  <si>
    <t xml:space="preserve">Annual logo churn: Starter</t>
  </si>
  <si>
    <t xml:space="preserve">Low-ACV SME churn is high; dealer-led churn is higher (weaker relationship ownership).</t>
  </si>
  <si>
    <t xml:space="preserve">Steady-state EBITDA margin used for terminal value</t>
  </si>
  <si>
    <t xml:space="preserve">Mature margin on recurring run-rate. Lower for C (heavy channel margin, low pricing power).</t>
  </si>
  <si>
    <t xml:space="preserve">5. ROLE COSTS (monthly, RM)</t>
  </si>
  <si>
    <t xml:space="preserve">Monthly cost</t>
  </si>
  <si>
    <t xml:space="preserve">Country General Manager (base)</t>
  </si>
  <si>
    <t xml:space="preserve">RM/month</t>
  </si>
  <si>
    <t xml:space="preserve">Senior tech GM, Kuala Lumpur (market guides: BD manager RM120-160k p.a.; PM RM132-242k p.a.).</t>
  </si>
  <si>
    <t xml:space="preserve">Account Executive / enterprise seller (base)</t>
  </si>
  <si>
    <t xml:space="preserve">Sales manager average ~RM7.5k/month in KL (job-portal data); software-experienced AE higher.</t>
  </si>
  <si>
    <t xml:space="preserve">Partner / channel manager</t>
  </si>
  <si>
    <t xml:space="preserve">BD manager RM120-160k p.a.</t>
  </si>
  <si>
    <t xml:space="preserve">Pre-sales / solution consultant</t>
  </si>
  <si>
    <t xml:space="preserve">IT project manager RM8-15k/month.</t>
  </si>
  <si>
    <t xml:space="preserve">Marketing (blended manager/executive)</t>
  </si>
  <si>
    <t xml:space="preserve">Finance, compliance &amp; DPO / admin (blended)</t>
  </si>
  <si>
    <t xml:space="preserve">PDPA (as amended 2024) requires a Data Protection Officer for controllers/processors meeting thresholds.</t>
  </si>
  <si>
    <t xml:space="preserve">India secondee (fully loaded: allowance, housing, travel)</t>
  </si>
  <si>
    <t xml:space="preserve">Assumption; loaded cost, x12 months.</t>
  </si>
  <si>
    <t xml:space="preserve">India-based localisation / product engineer (fully loaded)</t>
  </si>
  <si>
    <t xml:space="preserve">~INR 2.35 lakh per month; x12 months.</t>
  </si>
  <si>
    <t xml:space="preserve">6. YEAR-0 SET-UP COSTS (pre-launch, one-off)</t>
  </si>
  <si>
    <t xml:space="preserve">Incorporation, legal, company secretary, banking</t>
  </si>
  <si>
    <t xml:space="preserve">Sdn Bhd incorporation, resident director, constitution, contracts, trademark.</t>
  </si>
  <si>
    <t xml:space="preserve">Regulatory set-up: MDEC (MD status), LHDN/MyInvois validation, SST, PDPA/DPO</t>
  </si>
  <si>
    <t xml:space="preserve">Includes MyInvois integration testing and compliance advisory.</t>
  </si>
  <si>
    <t xml:space="preserve">In-country cloud region, ISO 27001 / pen-test, security review</t>
  </si>
  <si>
    <t xml:space="preserve">Data-residency and security assurance expected by mid-market buyers.</t>
  </si>
  <si>
    <t xml:space="preserve">Brand localisation &amp; launch</t>
  </si>
  <si>
    <t xml:space="preserve">Bahasa Melayu/English collateral, launch event, website.</t>
  </si>
  <si>
    <t xml:space="preserve">Partner / dealer programme design &amp; enablement content</t>
  </si>
  <si>
    <t xml:space="preserve">Pre-launch localisation engineers (FTE)</t>
  </si>
  <si>
    <t xml:space="preserve">FTE</t>
  </si>
  <si>
    <t xml:space="preserve">MyInvois e-invoice connector, SST, EPF/SOCSO/EIS/PCB payroll, Bahasa Melayu UI, SSM formats.</t>
  </si>
  <si>
    <t xml:space="preserve">Pre-launch months</t>
  </si>
  <si>
    <t xml:space="preserve">Board approval to commercial launch.</t>
  </si>
  <si>
    <t xml:space="preserve">6b. OPTION B+ CONDITIONS PRECEDENT (levers applied ONLY in Model_B_Plus; Option B 'as drawn' is unaffected)</t>
  </si>
  <si>
    <t xml:space="preserve">Effect</t>
  </si>
  <si>
    <t xml:space="preserve">Lever 1 - Reuse core product: change in India localisation team</t>
  </si>
  <si>
    <t xml:space="preserve">Condition: build the MyInvois/e-invoice connector and statutory payroll as a reusable configuration layer (also serves Singapore InvoiceNow/Peppol and other ASEAN e-invoice regimes).</t>
  </si>
  <si>
    <t xml:space="preserve">Lever 2 - Partner enablement: change in deals per active partner</t>
  </si>
  <si>
    <t xml:space="preserve">Condition: anchor-partner co-selling agreement, pre-sales bench, certification bootcamps and MDF; to be proven at Gate 2 (&gt;= 3 partners with 2+ closed deals). Partner-margin cuts are NOT combined with this lever because they work against it.</t>
  </si>
  <si>
    <t xml:space="preserve">Lever 3 - Price discipline: change in price realisation</t>
  </si>
  <si>
    <t xml:space="preserve">Condition: value-based packaging, floor pricing and annual prepay incentives; no price-led competition with AutoCount/SQL.</t>
  </si>
  <si>
    <t xml:space="preserve">Lever 4 - Cost discipline: change in operating-cost base</t>
  </si>
  <si>
    <t xml:space="preserve">Condition: Board-approved opex cap per gate, shared services with India, partner-delivered implementation.</t>
  </si>
  <si>
    <t xml:space="preserve">7A. OPTION A - DIRECT SUBSIDIARY - OPERATING PLAN (average FTE / counts per year)</t>
  </si>
  <si>
    <t xml:space="preserve">Quota-carrying AEs (average productive FTE)</t>
  </si>
  <si>
    <t xml:space="preserve">count</t>
  </si>
  <si>
    <t xml:space="preserve">Capacity driver for new-logo volume.</t>
  </si>
  <si>
    <t xml:space="preserve">Country GM</t>
  </si>
  <si>
    <t xml:space="preserve">Account Executives on payroll</t>
  </si>
  <si>
    <t xml:space="preserve">Equal to AE capacity above.</t>
  </si>
  <si>
    <t xml:space="preserve">Partner / channel managers</t>
  </si>
  <si>
    <t xml:space="preserve">Pre-sales / solution consultants</t>
  </si>
  <si>
    <t xml:space="preserve">Marketing</t>
  </si>
  <si>
    <t xml:space="preserve">Finance, compliance &amp; DPO / admin</t>
  </si>
  <si>
    <t xml:space="preserve">India secondees in Malaysia</t>
  </si>
  <si>
    <t xml:space="preserve">Knowledge transfer and quality control.</t>
  </si>
  <si>
    <t xml:space="preserve">India-based localisation &amp; product engineers</t>
  </si>
  <si>
    <t xml:space="preserve">Roadmap: compliance upkeep, vertical depth, Bahasa Melayu.</t>
  </si>
  <si>
    <t xml:space="preserve">Marketing programme spend</t>
  </si>
  <si>
    <t xml:space="preserve">Events, digital, MDEC/SME-grant vendor listing, partner co-marketing.</t>
  </si>
  <si>
    <t xml:space="preserve">Professional fees, insurance, travel &amp; other G&amp;A</t>
  </si>
  <si>
    <t xml:space="preserve">Audit, tax, legal, travel India-Malaysia.</t>
  </si>
  <si>
    <t xml:space="preserve">7B. OPTION B - LOCAL PARTNERSHIP (ALLIANCE) - OPERATING PLAN (average FTE / counts per year)</t>
  </si>
  <si>
    <t xml:space="preserve">Active certified partners (average)</t>
  </si>
  <si>
    <t xml:space="preserve">Sellers are external partners/dealers.</t>
  </si>
  <si>
    <t xml:space="preserve">7C. OPTION C - DISTRIBUTOR / DEALER-LED - OPERATING PLAN (average FTE / counts per year)</t>
  </si>
  <si>
    <t xml:space="preserve">Active dealers (average)</t>
  </si>
  <si>
    <t xml:space="preserve">Market Sizing - Bottom-up TAM / SAM / SOM (RM)</t>
  </si>
  <si>
    <t xml:space="preserve">Funnel = establishments x vertical relevance x ERP-grade need x annual spend. Establishment counts are official (DOSM); funnel percentages are consultant assumptions to be validated in Phase 0 primary research.</t>
  </si>
  <si>
    <t xml:space="preserve">A. ESTABLISHMENT BASE (Department of Statistics Malaysia, 2023 profile of MSMEs)</t>
  </si>
  <si>
    <t xml:space="preserve">Size class</t>
  </si>
  <si>
    <t xml:space="preserve">2023 count</t>
  </si>
  <si>
    <t xml:space="preserve">Basis / source</t>
  </si>
  <si>
    <t xml:space="preserve">Micro enterprises</t>
  </si>
  <si>
    <t xml:space="preserve">DOSM via SME Corp 'Profile and Importance to the Economy' (Sep 2024): 69.7% of MSMEs.</t>
  </si>
  <si>
    <t xml:space="preserve">Small enterprises</t>
  </si>
  <si>
    <t xml:space="preserve">As above: 28.5% of MSMEs.</t>
  </si>
  <si>
    <t xml:space="preserve">Medium enterprises</t>
  </si>
  <si>
    <t xml:space="preserve">As above: 1.8% of MSMEs.</t>
  </si>
  <si>
    <t xml:space="preserve">MSME total</t>
  </si>
  <si>
    <t xml:space="preserve">Reconciles to 1,101,725 MSMEs reported by DOSM for 2023 (96.9% of establishments).</t>
  </si>
  <si>
    <t xml:space="preserve">MSME share of all establishments</t>
  </si>
  <si>
    <t xml:space="preserve">DOSM 2023: MSMEs = 96.9% of establishments (96.1% in 2024 per OECD/DOSM).</t>
  </si>
  <si>
    <t xml:space="preserve">Total establishments (derived)</t>
  </si>
  <si>
    <t xml:space="preserve">Large establishments (derived)</t>
  </si>
  <si>
    <t xml:space="preserve">Cross-check: DOSM/SME Corp show 29,967 large services firms alone in 2023.</t>
  </si>
  <si>
    <t xml:space="preserve">Annual growth in establishment count</t>
  </si>
  <si>
    <t xml:space="preserve">DOSM: MSME establishments grew from 907,065 (2015) to 1,069,831 (2022), CAGR 2.4%.</t>
  </si>
  <si>
    <t xml:space="preserve">Years from 2023 base to 2026</t>
  </si>
  <si>
    <t xml:space="preserve">Growth factor to 2026</t>
  </si>
  <si>
    <t xml:space="preserve">Focus-corridor share of establishments (Selangor, KL, Johor, Penang)</t>
  </si>
  <si>
    <t xml:space="preserve">DOSM Economic Census 2023: Selangor 25.3% + Kuala Lumpur 13.8% + Johor 11.4% = 50.5% of active establishments; Penang and Melaka assumed to add ~4.5 pts.</t>
  </si>
  <si>
    <t xml:space="preserve">B. MARKET FUNNEL BY SIZE CLASS (2026E)</t>
  </si>
  <si>
    <t xml:space="preserve">Establishments 2026E</t>
  </si>
  <si>
    <t xml:space="preserve">% in ERP-relevant verticals</t>
  </si>
  <si>
    <t xml:space="preserve">% with ERP-grade need &amp; readiness</t>
  </si>
  <si>
    <t xml:space="preserve">Addressable firms</t>
  </si>
  <si>
    <t xml:space="preserve">Annual spend per firm (RM)</t>
  </si>
  <si>
    <t xml:space="preserve">TAM (RM m)</t>
  </si>
  <si>
    <t xml:space="preserve">Product-fit %</t>
  </si>
  <si>
    <t xml:space="preserve">Geographic reach %</t>
  </si>
  <si>
    <t xml:space="preserve">SAM (RM m)</t>
  </si>
  <si>
    <t xml:space="preserve">Switch / new-buy rate p.a.</t>
  </si>
  <si>
    <t xml:space="preserve">Contestable demand p.a. (RM m)</t>
  </si>
  <si>
    <t xml:space="preserve">Rationale</t>
  </si>
  <si>
    <t xml:space="preserve">Large (mid-large tier only)</t>
  </si>
  <si>
    <t xml:space="preserve">Tier-1 groups (SAP/Oracle estates) excluded: only ~20% treated as mid-market-ERP replaceable. Product-fit low: complex multi-entity/group consolidation requirements.</t>
  </si>
  <si>
    <t xml:space="preserve">Core target. Manufacturing, trading, logistics, construction represent ~60% of medium firms (assumption). 70% have ERP-grade complexity (multi-warehouse, costing, multi-entity).</t>
  </si>
  <si>
    <t xml:space="preserve">Only the upper tail (turnover &gt; RM1m, inside the e-invoice mandate) needs integrated inventory/sales/finance beyond bookkeeping.</t>
  </si>
  <si>
    <t xml:space="preserve">Mostly below the RM1m e-invoice exemption threshold; served by low-cost accounting/POS apps. ARPU too low for a foreign entrant.</t>
  </si>
  <si>
    <t xml:space="preserve">TOTAL</t>
  </si>
  <si>
    <t xml:space="preserve">C. MARKET GROWTH PROJECTION (RM m)</t>
  </si>
  <si>
    <t xml:space="preserve">2026E</t>
  </si>
  <si>
    <t xml:space="preserve">2027E</t>
  </si>
  <si>
    <t xml:space="preserve">2028E</t>
  </si>
  <si>
    <t xml:space="preserve">2029E</t>
  </si>
  <si>
    <t xml:space="preserve">Note</t>
  </si>
  <si>
    <t xml:space="preserve">Assumed market growth rate (CAGR)</t>
  </si>
  <si>
    <t xml:space="preserve">Triangulated: secondary sources cite 7.5% (Malaysia manufacturing-ERP niche) to 10.4% (broad ERP) CAGR - low-reliability vendor/blog sources; central 9% also consistent with e-invoicing-led SME digitalisation and ~5% real GDP growth.</t>
  </si>
  <si>
    <t xml:space="preserve">Cumulative contestable demand 2027E-2029E (RM m)</t>
  </si>
  <si>
    <t xml:space="preserve">D. SERVICEABLE OBTAINABLE MARKET (SOM) - WHAT EACH ENTRY MODE CAPTURES BY YEAR 3 (Base case)</t>
  </si>
  <si>
    <t xml:space="preserve">Option B+</t>
  </si>
  <si>
    <t xml:space="preserve">Year-3 closing net ARR (RM m)</t>
  </si>
  <si>
    <t xml:space="preserve">Share of 2029E SAM</t>
  </si>
  <si>
    <t xml:space="preserve">Share-of-SAM and share-of-contestable-demand stay low under every entry mode: the constraint is execution and trust, not market size.</t>
  </si>
  <si>
    <t xml:space="preserve">Share of cumulative contestable demand 2027E-29E</t>
  </si>
  <si>
    <t xml:space="preserve">Year-3 closing customers</t>
  </si>
  <si>
    <t xml:space="preserve">E. TRIANGULATION - REALITY CHECK AGAINST THE LOCAL LEADER</t>
  </si>
  <si>
    <t xml:space="preserve">AutoCount Dotcom FY2025 revenue (RM m)</t>
  </si>
  <si>
    <t xml:space="preserve">The Sun / AutoCount FY25 results: record revenue RM75.5m (+24.6%), PAT RM31.2m; recurring revenue ~30% of Q4 revenue. FY25 boosted by one-off e-invoicing demand.</t>
  </si>
  <si>
    <t xml:space="preserve">AutoCount customer companies (claimed)</t>
  </si>
  <si>
    <t xml:space="preserve">AutoCount company profile: &gt;240,000 companies; ~300 authorised dealers; Bursa ACE-listed since May 2023.</t>
  </si>
  <si>
    <t xml:space="preserve">Implied revenue per AutoCount customer (RM per year)</t>
  </si>
  <si>
    <t xml:space="preserve">Very low blended ARPU: the SME accounting pool is volume-driven and cheap (the average includes perpetual-licence and dormant accounts, so it is not like-for-like with a cloud subscription). An entrant cannot win by out-pricing in this tier - supports a mid-market (higher ACV) focus.</t>
  </si>
  <si>
    <t xml:space="preserve">AutoCount revenue as % of Small + Micro SAM</t>
  </si>
  <si>
    <t xml:space="preserve">Sanity check: the leader's revenue is a plausible fraction of our SME-tier SAM, so the SAM is not overstated.</t>
  </si>
  <si>
    <t xml:space="preserve">Our Starter-tier ACV as multiple of AutoCount ARPU</t>
  </si>
  <si>
    <t xml:space="preserve">Not like-for-like (see above), but a large gap shows the Starter tier is price-sensitive; any plan that relies on large Starter volumes is high-risk, so Starter is treated as opportunistic.</t>
  </si>
  <si>
    <t xml:space="preserve">Customer Segmentation - Which Industries and Customer Groups Are Most Likely to Buy</t>
  </si>
  <si>
    <t xml:space="preserve">Section A = official sector data. Section B = weighted attractiveness scoring (1-5, consultant judgement - blue cells editable). Section C = customer-tier playbook.</t>
  </si>
  <si>
    <t xml:space="preserve">A. SECTOR FACTS (DOSM Economic Census 2023 / SME Corp)</t>
  </si>
  <si>
    <t xml:space="preserve">Sector (MSME establishments, 2023)</t>
  </si>
  <si>
    <t xml:space="preserve">Count</t>
  </si>
  <si>
    <t xml:space="preserve">Share</t>
  </si>
  <si>
    <t xml:space="preserve">Source / note</t>
  </si>
  <si>
    <t xml:space="preserve">Services</t>
  </si>
  <si>
    <t xml:space="preserve">SME Corp / DOSM (Sep 2024): services 83.9%, construction 9.3%, manufacturing 5.4%, agriculture 1.2%, mining 0.2% of 1,101,725 MSMEs.</t>
  </si>
  <si>
    <t xml:space="preserve">Construction</t>
  </si>
  <si>
    <t xml:space="preserve">Manufacturing</t>
  </si>
  <si>
    <t xml:space="preserve">Agriculture</t>
  </si>
  <si>
    <t xml:space="preserve">Mining &amp; quarrying</t>
  </si>
  <si>
    <t xml:space="preserve">Within services (active establishments, 2022): wholesale &amp; retail trade</t>
  </si>
  <si>
    <t xml:space="preserve">DOSM Economic Census 2023 (Bernama, 29 Dec 2023): wholesale &amp; retail 47.0%, food &amp; beverage 14.4%, personal services 6.8% of services establishments.</t>
  </si>
  <si>
    <t xml:space="preserve">Within services: food &amp; beverage</t>
  </si>
  <si>
    <t xml:space="preserve">Within manufacturing: non-metallic minerals / basic &amp; fabricated metals</t>
  </si>
  <si>
    <t xml:space="preserve">Same DOSM release: leading manufacturing sub-sectors by establishment share.</t>
  </si>
  <si>
    <t xml:space="preserve">Within manufacturing: wood, furniture, paper &amp; printing</t>
  </si>
  <si>
    <t xml:space="preserve">Within manufacturing: food products</t>
  </si>
  <si>
    <t xml:space="preserve">B. VERTICAL ATTRACTIVENESS SCORING (1 = unattractive, 5 = highly attractive)</t>
  </si>
  <si>
    <t xml:space="preserve">Vertical</t>
  </si>
  <si>
    <t xml:space="preserve">Market size</t>
  </si>
  <si>
    <t xml:space="preserve">ERP need intensity</t>
  </si>
  <si>
    <t xml:space="preserve">Digital / e-invoice readiness</t>
  </si>
  <si>
    <t xml:space="preserve">Competitive whitespace (5 = low competition)</t>
  </si>
  <si>
    <t xml:space="preserve">Product fit (Indian vendor strengths)</t>
  </si>
  <si>
    <t xml:space="preserve">Channel accessibility</t>
  </si>
  <si>
    <t xml:space="preserve">Weighted score</t>
  </si>
  <si>
    <t xml:space="preserve">Rank</t>
  </si>
  <si>
    <t xml:space="preserve">Priority tier</t>
  </si>
  <si>
    <t xml:space="preserve">Criterion weight</t>
  </si>
  <si>
    <t xml:space="preserve">Manufacturing (E&amp;E supply chain, F&amp;B, plastics, fabricated metal, furniture)</t>
  </si>
  <si>
    <t xml:space="preserve">Costing, BOM, multi-warehouse and traceability needs exceed bookkeeping tools; strong fit with Indian vendors' manufacturing/inventory depth; e-invoice pressure on suppliers to MNC customers.</t>
  </si>
  <si>
    <t xml:space="preserve">Wholesale, trading &amp; distribution (incl. FMCG, industrial, building materials)</t>
  </si>
  <si>
    <t xml:space="preserve">Largest services sub-sector (47% of services firms); stock, pricing, credit-control and multi-branch needs. Dense incumbent dealer coverage (SQL, AutoCount) makes partner-led entry essential.</t>
  </si>
  <si>
    <t xml:space="preserve">Logistics, warehousing &amp; supply-chain services</t>
  </si>
  <si>
    <t xml:space="preserve">Billing-heavy, route/fleet and warehouse workflows; fewer entrenched ERP incumbents.</t>
  </si>
  <si>
    <t xml:space="preserve">Construction &amp; engineering contractors</t>
  </si>
  <si>
    <t xml:space="preserve">Project costing and progress billing; 102k firms but many micro; lower digital readiness.</t>
  </si>
  <si>
    <t xml:space="preserve">Retail multi-outlet &amp; franchise</t>
  </si>
  <si>
    <t xml:space="preserve">POS-centric; AutoCount POS, FeedMe and others are entrenched; low whitespace.</t>
  </si>
  <si>
    <t xml:space="preserve">Food &amp; beverage (central kitchens, multi-outlet)</t>
  </si>
  <si>
    <t xml:space="preserve">14.4% of services firms but POS/F&amp;B apps dominate; price-driven.</t>
  </si>
  <si>
    <t xml:space="preserve">Healthcare: clinic groups &amp; pharma distribution</t>
  </si>
  <si>
    <t xml:space="preserve">Regulated niche; selective opportunity in pharma distribution.</t>
  </si>
  <si>
    <t xml:space="preserve">Plantation, agri-processing &amp; commodities</t>
  </si>
  <si>
    <t xml:space="preserve">Complex but traditional buyers; SAP/Oracle at the top end; low digital readiness at the SME end.</t>
  </si>
  <si>
    <t xml:space="preserve">E-commerce sellers &amp; D2C brands</t>
  </si>
  <si>
    <t xml:space="preserve">High readiness but served by cheap marketplace ERPs (e.g., BigSeller) - price war.</t>
  </si>
  <si>
    <t xml:space="preserve">Professional &amp; business services (agencies, education)</t>
  </si>
  <si>
    <t xml:space="preserve">Light ERP need; served by Xero, Bukku, Zoho.</t>
  </si>
  <si>
    <t xml:space="preserve">Hospitality &amp; travel</t>
  </si>
  <si>
    <t xml:space="preserve">Vertical PMS/POS systems prevail.</t>
  </si>
  <si>
    <t xml:space="preserve">C. CUSTOMER-TIER PLAYBOOK</t>
  </si>
  <si>
    <t xml:space="preserve">Tier</t>
  </si>
  <si>
    <t xml:space="preserve">Firm profile</t>
  </si>
  <si>
    <t xml:space="preserve">Buying trigger</t>
  </si>
  <si>
    <t xml:space="preserve">Decision-maker</t>
  </si>
  <si>
    <t xml:space="preserve">Sales motion</t>
  </si>
  <si>
    <t xml:space="preserve">Likely incumbent met</t>
  </si>
  <si>
    <t xml:space="preserve">Right to win / priority</t>
  </si>
  <si>
    <t xml:space="preserve">Mid-market (medium &amp; mid-large)</t>
  </si>
  <si>
    <t xml:space="preserve">30-200 staff; RM15-150m revenue; multi-warehouse or multi-entity; manufacturing, distribution, logistics</t>
  </si>
  <si>
    <t xml:space="preserve">Outgrown accounting package; e-invoice + SST + audit trail; need for stock/costing control; group reporting</t>
  </si>
  <si>
    <t xml:space="preserve">Owner-director + Finance Director/CFO</t>
  </si>
  <si>
    <t xml:space="preserve">Partner-led solution selling with Company pre-sales; 4-9 month cycle</t>
  </si>
  <si>
    <t xml:space="preserve">SAP Business One, Dynamics 365 BC, NetSuite, Odoo partners, HashMicro</t>
  </si>
  <si>
    <t xml:space="preserve">Priority 1. Price-to-depth sweet spot: 25-40% below SAP/Microsoft equivalents with vertical depth. ACV RM65k.</t>
  </si>
  <si>
    <t xml:space="preserve">Core SME (upper-small)</t>
  </si>
  <si>
    <t xml:space="preserve">10-50 staff; RM1-15m turnover; inside e-invoice mandate; trading, F&amp;B production, engineering</t>
  </si>
  <si>
    <t xml:space="preserve">e-invoice compliance + need to integrate inventory, sales and payroll</t>
  </si>
  <si>
    <t xml:space="preserve">Owner / accountant</t>
  </si>
  <si>
    <t xml:space="preserve">Partner/dealer and accountant-referral; short cycle 1-3 months</t>
  </si>
  <si>
    <t xml:space="preserve">SQL Account, AutoCount, Zoho Books, Odoo</t>
  </si>
  <si>
    <t xml:space="preserve">Priority 2 via partners. Land with compliance, expand into inventory/payroll. ACV RM22k.</t>
  </si>
  <si>
    <t xml:space="preserve">Starter (micro / small)</t>
  </si>
  <si>
    <t xml:space="preserve">&lt;10 staff; mostly below RM1m e-invoice threshold</t>
  </si>
  <si>
    <t xml:space="preserve">Cost; basic compliance</t>
  </si>
  <si>
    <t xml:space="preserve">Owner</t>
  </si>
  <si>
    <t xml:space="preserve">Self-serve / dealer; very short cycle</t>
  </si>
  <si>
    <t xml:space="preserve">AutoCount, SQL, Bukku, Xero, free apps</t>
  </si>
  <si>
    <t xml:space="preserve">Priority 3 - opportunistic only. Leader ARPU ~RM315 per year signals a price war. ACV RM6k.</t>
  </si>
  <si>
    <t xml:space="preserve">Competitor Benchmarking - ERP &amp; Business-Software Providers in Malaysia</t>
  </si>
  <si>
    <t xml:space="preserve">Scores (1-5) are consultant judgements from public positioning, pricing signals and channel footprints - NOT audited data. Blue cells are editable. Section B lists the sourced facts behind the scores.</t>
  </si>
  <si>
    <t xml:space="preserve">A. WEIGHTED CAPABILITY SCORECARD</t>
  </si>
  <si>
    <t xml:space="preserve">Vendor</t>
  </si>
  <si>
    <t xml:space="preserve">Product breadth &amp; ERP depth</t>
  </si>
  <si>
    <t xml:space="preserve">Malaysia compliance readiness (MyInvois, SST, statutory payroll)</t>
  </si>
  <si>
    <t xml:space="preserve">Price accessibility for SME / mid-market</t>
  </si>
  <si>
    <t xml:space="preserve">Local channel &amp; implementation capacity</t>
  </si>
  <si>
    <t xml:space="preserve">Cloud / SaaS &amp; integration</t>
  </si>
  <si>
    <t xml:space="preserve">Brand trust &amp; local references</t>
  </si>
  <si>
    <t xml:space="preserve">Vertical depth (distribution / manufacturing)</t>
  </si>
  <si>
    <t xml:space="preserve">SAP (S/4HANA / Business One)</t>
  </si>
  <si>
    <t xml:space="preserve">Microsoft Dynamics 365 BC</t>
  </si>
  <si>
    <t xml:space="preserve">Oracle NetSuite</t>
  </si>
  <si>
    <t xml:space="preserve">Odoo (via partners)</t>
  </si>
  <si>
    <t xml:space="preserve">AutoCount</t>
  </si>
  <si>
    <t xml:space="preserve">SQL Account</t>
  </si>
  <si>
    <t xml:space="preserve">Zoho (Books / One / ERP suite)</t>
  </si>
  <si>
    <t xml:space="preserve">HashMicro</t>
  </si>
  <si>
    <t xml:space="preserve">ECOUNT ERP</t>
  </si>
  <si>
    <t xml:space="preserve">Cloud accounting (Xero / Bukku)</t>
  </si>
  <si>
    <t xml:space="preserve">CLIENT - Day 1 (pre-localisation)</t>
  </si>
  <si>
    <t xml:space="preserve">CLIENT - Year 3 target (Option B)</t>
  </si>
  <si>
    <t xml:space="preserve">Reading: the client's Day-1 position is weakest on local compliance, channel and brand - exactly what localisation + a partner model must close.</t>
  </si>
  <si>
    <t xml:space="preserve">B. COMPETITOR PROFILES &amp; SOURCED FACTS</t>
  </si>
  <si>
    <t xml:space="preserve">Origin / model</t>
  </si>
  <si>
    <t xml:space="preserve">Positioning &amp; target segment</t>
  </si>
  <si>
    <t xml:space="preserve">Channel &amp; footprint evidence</t>
  </si>
  <si>
    <t xml:space="preserve">Implication for the client</t>
  </si>
  <si>
    <t xml:space="preserve">Evidence quality</t>
  </si>
  <si>
    <t xml:space="preserve">AutoCount (AutoCount Dotcom Bhd)</t>
  </si>
  <si>
    <t xml:space="preserve">Malaysia; Bursa-listed (May 2023); on-prem + cloud</t>
  </si>
  <si>
    <t xml:space="preserve">SME accounting, POS, payroll; e-invoicing leader</t>
  </si>
  <si>
    <t xml:space="preserve">&gt;240k companies; ~300 authorised dealers; FY25 revenue RM75.5m (+24.6%); recurring ~30% of Q4 revenue; demand normalising after e-invoicing surge in 2026</t>
  </si>
  <si>
    <t xml:space="preserve">Dominant in Core/Starter tiers with deep dealer loyalty. Do not attack head-on; avoid SME accounting price war.</t>
  </si>
  <si>
    <t xml:space="preserve">High (company/press)</t>
  </si>
  <si>
    <t xml:space="preserve">SQL Account (Estream)</t>
  </si>
  <si>
    <t xml:space="preserve">Malaysia; mostly on-prem; reseller network</t>
  </si>
  <si>
    <t xml:space="preserve">Trading / manufacturing SMEs; accounting + stock</t>
  </si>
  <si>
    <t xml:space="preserve">Reseller sites claim &gt;600k users nationwide (unverified)</t>
  </si>
  <si>
    <t xml:space="preserve">Same dealer-ecosystem barrier; strongest in trading/distribution - our Tier-1 vertical.</t>
  </si>
  <si>
    <t xml:space="preserve">Low-Medium (reseller claims)</t>
  </si>
  <si>
    <t xml:space="preserve">Zoho Corporation</t>
  </si>
  <si>
    <t xml:space="preserve">India; cloud suite; Zoho Books with Malaysia e-invoice extension</t>
  </si>
  <si>
    <t xml:space="preserve">Broad SMB suite, price-accessible</t>
  </si>
  <si>
    <t xml:space="preserve">Opened Kuala Lumpur office 27 Jan 2026; ManageEngine reported 25% Malaysia growth in 2025; Zoho for Startups with Cradle Fund</t>
  </si>
  <si>
    <t xml:space="preserve">Closest 'Indian peer' now locally resourced. Differentiate on mid-market depth, vertical modules and implementation support, not breadth/price.</t>
  </si>
  <si>
    <t xml:space="preserve">High (company news)</t>
  </si>
  <si>
    <t xml:space="preserve">SAP / Microsoft Dynamics 365 BC / Oracle NetSuite</t>
  </si>
  <si>
    <t xml:space="preserve">Global; partner-delivered</t>
  </si>
  <si>
    <t xml:space="preserve">Mid-market to large; premium pricing</t>
  </si>
  <si>
    <t xml:space="preserve">Dynamics 365 listed from ~US$65+/user/month; SAP/Oracle premium; heavy localisation required (buyer guides)</t>
  </si>
  <si>
    <t xml:space="preserve">Price umbrella: an Indian vendor can undercut by 25-40% while matching compliance. Competes for partner mindshare.</t>
  </si>
  <si>
    <t xml:space="preserve">Medium</t>
  </si>
  <si>
    <t xml:space="preserve">Odoo</t>
  </si>
  <si>
    <t xml:space="preserve">Belgium; open-source; partner-delivered</t>
  </si>
  <si>
    <t xml:space="preserve">SMEs; customisable modules</t>
  </si>
  <si>
    <t xml:space="preserve">Highest share in a web-technology detection sample of Malaysian sites (small sample; indicative only)</t>
  </si>
  <si>
    <t xml:space="preserve">Free/low-cost core and many partners; competes on price and flexibility.</t>
  </si>
  <si>
    <t xml:space="preserve">Low (web detection)</t>
  </si>
  <si>
    <t xml:space="preserve">Singapore/Malaysia/Indonesia; customised ERP</t>
  </si>
  <si>
    <t xml:space="preserve">SME &amp; mid-market; customisable</t>
  </si>
  <si>
    <t xml:space="preserve">Described as having a strong local partner network in Malaysia (buyer guide)</t>
  </si>
  <si>
    <t xml:space="preserve">Direct mid-market competitor in Malaysia; benchmark for partner-led growth.</t>
  </si>
  <si>
    <t xml:space="preserve">Low-Medium</t>
  </si>
  <si>
    <t xml:space="preserve">Korea; flat-fee cloud ERP</t>
  </si>
  <si>
    <t xml:space="preserve">SMEs; pricing not per user</t>
  </si>
  <si>
    <t xml:space="preserve">Active marketing in Malaysia (own buyer guide)</t>
  </si>
  <si>
    <t xml:space="preserve">Price-disruptive cloud ERP; competes for upper-SME tier.</t>
  </si>
  <si>
    <t xml:space="preserve">Cloud accounting (Xero, Bukku)</t>
  </si>
  <si>
    <t xml:space="preserve">NZ / Malaysia; cloud</t>
  </si>
  <si>
    <t xml:space="preserve">Service SMEs, startups</t>
  </si>
  <si>
    <t xml:space="preserve">Xero research on e-invoice readiness among Malaysian SMEs; Bukku positioned for service firms</t>
  </si>
  <si>
    <t xml:space="preserve">Low ERP depth; out of scope except as low-end price anchor.</t>
  </si>
  <si>
    <t xml:space="preserve">Option A - Direct subsidiary - 3-Year Financial Model (RM)</t>
  </si>
  <si>
    <t xml:space="preserve">Three scenario blocks side by side (Base | Downside | Upside). Year 0 = pre-launch (~6 months); Years 1-3 = first three 12-month periods after commercial launch. All cells are formulas driven by the Assumptions sheet.</t>
  </si>
  <si>
    <t xml:space="preserve">BASE CASE</t>
  </si>
  <si>
    <t xml:space="preserve">DOWNSIDE CASE</t>
  </si>
  <si>
    <t xml:space="preserve">UPSIDE CASE</t>
  </si>
  <si>
    <t xml:space="preserve">Line item</t>
  </si>
  <si>
    <t xml:space="preserve">SCENARIO PARAMETERS (pulled from Assumptions section 2)</t>
  </si>
  <si>
    <t xml:space="preserve">Scenario index (1 = Downside, 2 = Base, 3 = Upside)</t>
  </si>
  <si>
    <t xml:space="preserve">#</t>
  </si>
  <si>
    <t xml:space="preserve">Scenario name</t>
  </si>
  <si>
    <t xml:space="preserve">Price realisation multiplier</t>
  </si>
  <si>
    <t xml:space="preserve">Churn adjustment (pts)</t>
  </si>
  <si>
    <t xml:space="preserve">1. CUSTOMER VOLUME BUILD</t>
  </si>
  <si>
    <t xml:space="preserve">Sellers (AEs / certified partners / active dealers)</t>
  </si>
  <si>
    <t xml:space="preserve">New logos - Mid-market</t>
  </si>
  <si>
    <t xml:space="preserve">Opening customers - Mid-market</t>
  </si>
  <si>
    <t xml:space="preserve">Churned customers - Mid-market</t>
  </si>
  <si>
    <t xml:space="preserve">Closing customers - Mid-market</t>
  </si>
  <si>
    <t xml:space="preserve">Average customers - Mid-market</t>
  </si>
  <si>
    <t xml:space="preserve">New logos - Core SME</t>
  </si>
  <si>
    <t xml:space="preserve">Opening customers - Core SME</t>
  </si>
  <si>
    <t xml:space="preserve">Churned customers - Core SME</t>
  </si>
  <si>
    <t xml:space="preserve">Closing customers - Core SME</t>
  </si>
  <si>
    <t xml:space="preserve">Average customers - Core SME</t>
  </si>
  <si>
    <t xml:space="preserve">New logos - Starter</t>
  </si>
  <si>
    <t xml:space="preserve">Opening customers - Starter</t>
  </si>
  <si>
    <t xml:space="preserve">Churned customers - Starter</t>
  </si>
  <si>
    <t xml:space="preserve">Closing customers - Starter</t>
  </si>
  <si>
    <t xml:space="preserve">Average customers - Starter</t>
  </si>
  <si>
    <t xml:space="preserve">Total new logos</t>
  </si>
  <si>
    <t xml:space="preserve">Total closing customers</t>
  </si>
  <si>
    <t xml:space="preserve">2. REVENUE (RM, net of SST)</t>
  </si>
  <si>
    <t xml:space="preserve">Effective ACV factor (price escalation x expansion x realisation)</t>
  </si>
  <si>
    <t xml:space="preserve">Effective ACV - Mid-market</t>
  </si>
  <si>
    <t xml:space="preserve">Effective ACV - Core SME</t>
  </si>
  <si>
    <t xml:space="preserve">Effective ACV - Starter</t>
  </si>
  <si>
    <t xml:space="preserve">Gross subscription billings - Mid-market</t>
  </si>
  <si>
    <t xml:space="preserve">Gross subscription billings - Core SME</t>
  </si>
  <si>
    <t xml:space="preserve">Gross subscription billings - Starter</t>
  </si>
  <si>
    <t xml:space="preserve">Gross subscription billings</t>
  </si>
  <si>
    <t xml:space="preserve">Less: partner / dealer margin</t>
  </si>
  <si>
    <t xml:space="preserve">Net subscription revenue</t>
  </si>
  <si>
    <t xml:space="preserve">Implementation &amp; onboarding revenue (own-delivered)</t>
  </si>
  <si>
    <t xml:space="preserve">Partner / dealer enablement revenue</t>
  </si>
  <si>
    <t xml:space="preserve">TOTAL REVENUE</t>
  </si>
  <si>
    <t xml:space="preserve">Closing recurring run-rate (net ARR)</t>
  </si>
  <si>
    <t xml:space="preserve">3. COST OF REVENUE &amp; GROSS PROFIT (RM)</t>
  </si>
  <si>
    <t xml:space="preserve">Hosting &amp; third-party costs</t>
  </si>
  <si>
    <t xml:space="preserve">Cost of own-delivered services</t>
  </si>
  <si>
    <t xml:space="preserve">Support &amp; customer success</t>
  </si>
  <si>
    <t xml:space="preserve">Total cost of revenue</t>
  </si>
  <si>
    <t xml:space="preserve">GROSS PROFIT</t>
  </si>
  <si>
    <t xml:space="preserve">Gross margin %</t>
  </si>
  <si>
    <t xml:space="preserve">4. OPERATING EXPENSES (RM)</t>
  </si>
  <si>
    <t xml:space="preserve">Malaysia-based FTE (incl. India secondees)</t>
  </si>
  <si>
    <t xml:space="preserve">Payroll - Country GM</t>
  </si>
  <si>
    <t xml:space="preserve">Payroll - Account executives</t>
  </si>
  <si>
    <t xml:space="preserve">Payroll - Partner / channel managers</t>
  </si>
  <si>
    <t xml:space="preserve">Payroll - Pre-sales / solution consultants</t>
  </si>
  <si>
    <t xml:space="preserve">Payroll - Marketing team</t>
  </si>
  <si>
    <t xml:space="preserve">Payroll - Finance, compliance &amp; DPO</t>
  </si>
  <si>
    <t xml:space="preserve">India secondees (loaded)</t>
  </si>
  <si>
    <t xml:space="preserve">India localisation &amp; product engineering (loaded)</t>
  </si>
  <si>
    <t xml:space="preserve">Sales commissions / channel incentives</t>
  </si>
  <si>
    <t xml:space="preserve">Marketing programmes</t>
  </si>
  <si>
    <t xml:space="preserve">Facilities &amp; IT</t>
  </si>
  <si>
    <t xml:space="preserve">Professional fees, insurance, travel &amp; G&amp;A</t>
  </si>
  <si>
    <t xml:space="preserve">Bad-debt provision</t>
  </si>
  <si>
    <t xml:space="preserve">Operating expenses before contingency</t>
  </si>
  <si>
    <t xml:space="preserve">Contingency</t>
  </si>
  <si>
    <t xml:space="preserve">TOTAL OPERATING EXPENSES</t>
  </si>
  <si>
    <t xml:space="preserve">Year-0 set-up &amp; pre-launch costs (expensed)</t>
  </si>
  <si>
    <t xml:space="preserve">EBITDA</t>
  </si>
  <si>
    <t xml:space="preserve">EBITDA margin %</t>
  </si>
  <si>
    <t xml:space="preserve">5. PROFIT &amp; LOSS BELOW EBITDA (RM)</t>
  </si>
  <si>
    <t xml:space="preserve">Capital expenditure</t>
  </si>
  <si>
    <t xml:space="preserve">Cumulative capex</t>
  </si>
  <si>
    <t xml:space="preserve">Depreciation</t>
  </si>
  <si>
    <t xml:space="preserve">EBIT</t>
  </si>
  <si>
    <t xml:space="preserve">Applicable tax rate</t>
  </si>
  <si>
    <t xml:space="preserve">Tax losses brought forward</t>
  </si>
  <si>
    <t xml:space="preserve">Losses utilised</t>
  </si>
  <si>
    <t xml:space="preserve">Losses added</t>
  </si>
  <si>
    <t xml:space="preserve">Tax losses carried forward</t>
  </si>
  <si>
    <t xml:space="preserve">Taxable income after losses</t>
  </si>
  <si>
    <t xml:space="preserve">Corporate income tax</t>
  </si>
  <si>
    <t xml:space="preserve">NET INCOME (no interest assumed; parent-funded)</t>
  </si>
  <si>
    <t xml:space="preserve">6. CASH FLOW (RM)</t>
  </si>
  <si>
    <t xml:space="preserve">Accounts receivable</t>
  </si>
  <si>
    <t xml:space="preserve">Deferred revenue</t>
  </si>
  <si>
    <t xml:space="preserve">Accounts payable (non-payroll costs)</t>
  </si>
  <si>
    <t xml:space="preserve">Net working capital</t>
  </si>
  <si>
    <t xml:space="preserve">Increase / (decrease) in net working capital</t>
  </si>
  <si>
    <t xml:space="preserve">FREE CASH FLOW (EBITDA - tax - dNWC - capex)</t>
  </si>
  <si>
    <t xml:space="preserve">7. VALUATION - EXPLICIT PERIOD (RM)</t>
  </si>
  <si>
    <t xml:space="preserve">Discount factor (year-end; Year 0 = 1.0)</t>
  </si>
  <si>
    <t xml:space="preserve">Present value of free cash flow</t>
  </si>
  <si>
    <t xml:space="preserve">7a. TERMINAL VALUE - IMMEDIATE STEADY-STATE METHOD (no fade; conservative bound, used when switch = 0)</t>
  </si>
  <si>
    <t xml:space="preserve">Normalised steady-state FCF at Year 3 (Y3 ARR x margin x (1-tax) x (1-reinvestment))</t>
  </si>
  <si>
    <t xml:space="preserve">Terminal value at end of Year 3 (Gordon growth, after haircut)</t>
  </si>
  <si>
    <t xml:space="preserve">Present value of no-fade terminal value</t>
  </si>
  <si>
    <t xml:space="preserve">7b. POST-HORIZON FADE - NOTE: in this block the three columns represent YEAR 4 / YEAR 5 / YEAR 6</t>
  </si>
  <si>
    <t xml:space="preserve">[Yr 4-6] ARR growth (decaying)</t>
  </si>
  <si>
    <t xml:space="preserve">[Yr 4-6] Closing ARR</t>
  </si>
  <si>
    <t xml:space="preserve">[Yr 4-6] Recurring revenue proxy (average of opening and closing ARR)</t>
  </si>
  <si>
    <t xml:space="preserve">[Yr 4-6] EBITDA margin (linear convergence from Year-3 margin on ARR to steady state)</t>
  </si>
  <si>
    <t xml:space="preserve">[Yr 4-6] EBITDA</t>
  </si>
  <si>
    <t xml:space="preserve">[Yr 4-6] Tax losses brought forward</t>
  </si>
  <si>
    <t xml:space="preserve">[Yr 4-6] Losses utilised</t>
  </si>
  <si>
    <t xml:space="preserve">[Yr 4-6] Tax losses carried forward</t>
  </si>
  <si>
    <t xml:space="preserve">[Yr 4-6] Corporate income tax</t>
  </si>
  <si>
    <t xml:space="preserve">[Yr 4-6] Free cash flow (EBITDA - tax - reinvestment)</t>
  </si>
  <si>
    <t xml:space="preserve">[Yr 4-6] Cumulative free cash flow (continuing from Year 3)</t>
  </si>
  <si>
    <t xml:space="preserve">[Yr 4-6] PV of free cash flow (discounted from Years 4-6)</t>
  </si>
  <si>
    <t xml:space="preserve">Normalised steady-state FCF at Year 6 (Y6 ARR x margin x (1-tax) x (1-reinvestment))</t>
  </si>
  <si>
    <t xml:space="preserve">Terminal value at end of Year 6 (Gordon growth, after haircut)</t>
  </si>
  <si>
    <t xml:space="preserve">Present value of Year-6 terminal value</t>
  </si>
  <si>
    <t xml:space="preserve">8. KEY OUTPUTS (shown in the first column of each scenario block)</t>
  </si>
  <si>
    <t xml:space="preserve">Cumulative revenue, Years 1-3</t>
  </si>
  <si>
    <t xml:space="preserve">Cash payback within explicit period</t>
  </si>
  <si>
    <t xml:space="preserve">Peak cumulative funding within the explicit 3-year period</t>
  </si>
  <si>
    <t xml:space="preserve">Peak cumulative funding incl. Year 4-6 fade (cash at risk until self-funding)</t>
  </si>
  <si>
    <t xml:space="preserve">Cumulative cash out by end of Year 1 (Gate-2 exposure)</t>
  </si>
  <si>
    <t xml:space="preserve">NPV - explicit 3-year period only</t>
  </si>
  <si>
    <t xml:space="preserve">PV of value beyond Year 3 (fade cash flows + terminal value, per switch)</t>
  </si>
  <si>
    <t xml:space="preserve">NPV incl. TV using the conservative no-fade method (memo)</t>
  </si>
  <si>
    <t xml:space="preserve">NPV including terminal value</t>
  </si>
  <si>
    <t xml:space="preserve">IRR including terminal value</t>
  </si>
  <si>
    <t xml:space="preserve">Profitability index (NPV / peak funding incl. fade)</t>
  </si>
  <si>
    <t xml:space="preserve">Value beyond Year 3 (undiscounted TV at Y6 or Y3 per switch) as multiple of Year-3 ARR</t>
  </si>
  <si>
    <t xml:space="preserve">NPV incl. TV in INR crore</t>
  </si>
  <si>
    <t xml:space="preserve">INR cr</t>
  </si>
  <si>
    <t xml:space="preserve">Check: NPV via SUMPRODUCT vs NPV() function (should be 0)</t>
  </si>
  <si>
    <t xml:space="preserve">Option B - Local partnership (alliance) - 3-Year Financial Model (RM)</t>
  </si>
  <si>
    <t xml:space="preserve">Option C - Distributor / dealer-led - 3-Year Financial Model (RM)</t>
  </si>
  <si>
    <t xml:space="preserve">Option B+ - Partnership with conditions precedent secured - 3-Year Financial Model (RM)</t>
  </si>
  <si>
    <t xml:space="preserve">New-logo volume multiplier (incl. Lever 2: partner productivity)</t>
  </si>
  <si>
    <t xml:space="preserve">Price realisation multiplier (incl. Lever 3: price discipline)</t>
  </si>
  <si>
    <t xml:space="preserve">Operating-cost multiplier (incl. Lever 4: cost discipline)</t>
  </si>
  <si>
    <t xml:space="preserve">India localisation &amp; product engineering (loaded) (incl. Lever 1: reuse)</t>
  </si>
  <si>
    <t xml:space="preserve">IRR Support Sheet - cash-flow streams for IRR (Years 0-6 incl. terminal value)</t>
  </si>
  <si>
    <t xml:space="preserve">Support calculation only. Years 4-6 and the terminal value follow the valuation switch on Assumptions (fade on = Year-6 terminal value; fade off = Year-3 terminal value).</t>
  </si>
  <si>
    <t xml:space="preserve">Entry mode</t>
  </si>
  <si>
    <t xml:space="preserve">Scenario</t>
  </si>
  <si>
    <t xml:space="preserve">Year 4</t>
  </si>
  <si>
    <t xml:space="preserve">Year 5</t>
  </si>
  <si>
    <t xml:space="preserve">Year 6 (+TV)</t>
  </si>
  <si>
    <t xml:space="preserve">IRR</t>
  </si>
  <si>
    <t xml:space="preserve">Option A - Direct subsidiary</t>
  </si>
  <si>
    <t xml:space="preserve">Option B - Local partnership (alliance)</t>
  </si>
  <si>
    <t xml:space="preserve">Option C - Distributor / dealer-led</t>
  </si>
  <si>
    <t xml:space="preserve">Option B+ - Partnership with conditions precedent secured</t>
  </si>
  <si>
    <t xml:space="preserve">Market-Entry Strategy Comparison - Direct vs. Partnership vs. Distributor</t>
  </si>
  <si>
    <t xml:space="preserve">Quantitative comparison links to the three model sheets. Qualitative scores (1-5, blue) are consultant judgements and can be edited; recommendation recalculates.</t>
  </si>
  <si>
    <t xml:space="preserve">A. ENTRY-MODE DEFINITIONS</t>
  </si>
  <si>
    <t xml:space="preserve">Attribute</t>
  </si>
  <si>
    <t xml:space="preserve">Option A: Direct subsidiary</t>
  </si>
  <si>
    <t xml:space="preserve">Option B: Local partnership</t>
  </si>
  <si>
    <t xml:space="preserve">Option C: Distributor-led</t>
  </si>
  <si>
    <t xml:space="preserve">Option B+: Partnership + conditions</t>
  </si>
  <si>
    <t xml:space="preserve">Comment</t>
  </si>
  <si>
    <t xml:space="preserve">What it is</t>
  </si>
  <si>
    <t xml:space="preserve">Wholly-owned Malaysian Sdn Bhd with own sales, pre-sales, implementation and support teams.</t>
  </si>
  <si>
    <t xml:space="preserve">Lean Malaysian Sdn Bhd + strategic alliance with an anchor Malaysian systems integrator and 10-14 certified implementation/reseller partners (revenue share).</t>
  </si>
  <si>
    <t xml:space="preserve">Light local presence; non-exclusive distributor plus 20-35 dealers who sell, implement and support (dealer model like AutoCount/SQL).</t>
  </si>
  <si>
    <t xml:space="preserve">Option B with four conditions precedent secured before capital release (reusable localisation, partner co-selling, price discipline, cost cap).</t>
  </si>
  <si>
    <t xml:space="preserve">Who sells</t>
  </si>
  <si>
    <t xml:space="preserve">Company AEs (3 / 6 / 9)</t>
  </si>
  <si>
    <t xml:space="preserve">Partners with Company pre-sales and partner managers</t>
  </si>
  <si>
    <t xml:space="preserve">Dealers with channel managers</t>
  </si>
  <si>
    <t xml:space="preserve">As B, +20% deals per partner via co-selling</t>
  </si>
  <si>
    <t xml:space="preserve">Productivity assumptions on Assumptions sheet (section 4).</t>
  </si>
  <si>
    <t xml:space="preserve">Who implements &amp; supports</t>
  </si>
  <si>
    <t xml:space="preserve">Company (100%)</t>
  </si>
  <si>
    <t xml:space="preserve">Partner-led; Company handles complex mid-market work (30%)</t>
  </si>
  <si>
    <t xml:space="preserve">Dealers (100%); Company certifies</t>
  </si>
  <si>
    <t xml:space="preserve">As B</t>
  </si>
  <si>
    <t xml:space="preserve">Margin structure</t>
  </si>
  <si>
    <t xml:space="preserve">No channel margin; highest gross margin per customer</t>
  </si>
  <si>
    <t xml:space="preserve">~22% partner margin</t>
  </si>
  <si>
    <t xml:space="preserve">~35% dealer margin</t>
  </si>
  <si>
    <t xml:space="preserve">~22% partner margin; +5% price realisation</t>
  </si>
  <si>
    <t xml:space="preserve">Capital intensity</t>
  </si>
  <si>
    <t xml:space="preserve">Highest fixed cost base (payroll, expats, facilities)</t>
  </si>
  <si>
    <t xml:space="preserve">Moderate fixed costs; variable partner cost</t>
  </si>
  <si>
    <t xml:space="preserve">Lowest fixed costs</t>
  </si>
  <si>
    <t xml:space="preserve">Moderate; localisation team -30%, opex -10%</t>
  </si>
  <si>
    <t xml:space="preserve">Customer ownership &amp; pricing power</t>
  </si>
  <si>
    <t xml:space="preserve">Full</t>
  </si>
  <si>
    <t xml:space="preserve">Shared (Company owns licence &amp; relationship; partner owns delivery)</t>
  </si>
  <si>
    <t xml:space="preserve">Weak (dealer owns relationship)</t>
  </si>
  <si>
    <t xml:space="preserve">Shared</t>
  </si>
  <si>
    <t xml:space="preserve">Typical customer mix</t>
  </si>
  <si>
    <t xml:space="preserve">Mid-market + Core SME</t>
  </si>
  <si>
    <t xml:space="preserve">Mid-market + Core SME + selective Starter</t>
  </si>
  <si>
    <t xml:space="preserve">Mostly Starter + Core SME</t>
  </si>
  <si>
    <t xml:space="preserve">Key failure mode</t>
  </si>
  <si>
    <t xml:space="preserve">Brand/trust built from zero; slow ramp; fixed costs outrun revenue</t>
  </si>
  <si>
    <t xml:space="preserve">Partner under-performance or channel conflict</t>
  </si>
  <si>
    <t xml:space="preserve">Dealer inertia: incumbent loyalty, price war, low ACV</t>
  </si>
  <si>
    <t xml:space="preserve">Conditions not delivered -&gt; reverts to Option B economics</t>
  </si>
  <si>
    <t xml:space="preserve">Best fit when</t>
  </si>
  <si>
    <t xml:space="preserve">Strong balance sheet, long horizon, high-ACV large accounts</t>
  </si>
  <si>
    <t xml:space="preserve">Need credibility and installed-base access with controlled capital</t>
  </si>
  <si>
    <t xml:space="preserve">Pure volume play in SME with proven low-touch product</t>
  </si>
  <si>
    <t xml:space="preserve">Recommended: capital released only as each condition is evidenced at the stage gates</t>
  </si>
  <si>
    <t xml:space="preserve">B. FINANCIAL COMPARISON - BASE CASE (RM m unless stated)</t>
  </si>
  <si>
    <t xml:space="preserve">Net of partner/dealer margin.</t>
  </si>
  <si>
    <t xml:space="preserve">Peak cumulative funding within Years 0-3</t>
  </si>
  <si>
    <t xml:space="preserve">Highest cumulative cash deficit inside the explicit horizon.</t>
  </si>
  <si>
    <t xml:space="preserve">Peak funding incl. Year 4-6 fade (cash at risk until self-funding)</t>
  </si>
  <si>
    <t xml:space="preserve">Losses continue into Year 4 before cash break-even.</t>
  </si>
  <si>
    <t xml:space="preserve">Cash out by end of Year 1 (Gate-2 exposure)</t>
  </si>
  <si>
    <t xml:space="preserve">Capital exposed before the first hard commercial gate.</t>
  </si>
  <si>
    <t xml:space="preserve">No terminal value: pure 3-year cash view.</t>
  </si>
  <si>
    <t xml:space="preserve">PV of value beyond Year 3 (Yr 4-6 fade cash flows + terminal value)</t>
  </si>
  <si>
    <t xml:space="preserve">Depends on Year-3 ARR, growth fade and steady-state margin (haircut applied to TV).</t>
  </si>
  <si>
    <t xml:space="preserve">NPV including value beyond Year 3</t>
  </si>
  <si>
    <t xml:space="preserve">Headline NPV.</t>
  </si>
  <si>
    <t xml:space="preserve">Memo: NPV with conservative no-fade terminal value</t>
  </si>
  <si>
    <t xml:space="preserve">Assumes growth drops to terminal rate immediately after Year 3.</t>
  </si>
  <si>
    <t xml:space="preserve">n/m = not meaningful.</t>
  </si>
  <si>
    <t xml:space="preserve">At the Assumptions FX rate.</t>
  </si>
  <si>
    <t xml:space="preserve">C. SCENARIO &amp; RISK-ADJUSTED VIEW (RM m)</t>
  </si>
  <si>
    <t xml:space="preserve">NPV incl. TV - Downside</t>
  </si>
  <si>
    <t xml:space="preserve">NPV incl. TV - Base</t>
  </si>
  <si>
    <t xml:space="preserve">NPV incl. TV - Upside</t>
  </si>
  <si>
    <t xml:space="preserve">Probability - Downside</t>
  </si>
  <si>
    <t xml:space="preserve">Probability - Base</t>
  </si>
  <si>
    <t xml:space="preserve">Probability - Upside</t>
  </si>
  <si>
    <t xml:space="preserve">Probability check (must equal 100%)</t>
  </si>
  <si>
    <t xml:space="preserve">RISK-ADJUSTED NPV (probability-weighted)</t>
  </si>
  <si>
    <t xml:space="preserve">Expected NPV across Downside/Base/Upside using entry-mode-specific probabilities.</t>
  </si>
  <si>
    <t xml:space="preserve">Stage-gate view: NPV if stopped at Gate 2 (PV of Year 0-1 cash flows + wind-down cost)</t>
  </si>
  <si>
    <t xml:space="preserve">Uses Downside cash flows (the scenario in which a stop would be triggered).</t>
  </si>
  <si>
    <t xml:space="preserve">Gate-adjusted Downside NPV (stop with probability = gate effectiveness)</t>
  </si>
  <si>
    <t xml:space="preserve">Value of the abandonment option created by stage-gated capital release. Same gating logic applied to every mode.</t>
  </si>
  <si>
    <t xml:space="preserve">CONDITION-WEIGHTED EXPECTED NPV of the recommended plan (Option B+ with probability p; else Option B stage-gate-adjusted) - column E only</t>
  </si>
  <si>
    <t xml:space="preserve">p = probability all conditions precedent are secured (Assumptions). Failure branch = Option B as drawn, gated.</t>
  </si>
  <si>
    <t xml:space="preserve">Expected peak funding incl. fade (probability-weighted cash at risk)</t>
  </si>
  <si>
    <t xml:space="preserve">Worst-case cash at risk (Downside peak funding incl. fade)</t>
  </si>
  <si>
    <t xml:space="preserve">Risk-adjusted return per RM of expected cash at risk</t>
  </si>
  <si>
    <t xml:space="preserve">Risk-adjusted NPV in INR crore</t>
  </si>
  <si>
    <t xml:space="preserve">D. STRATEGIC SCORECARD (weights and judgement scores are editable)</t>
  </si>
  <si>
    <t xml:space="preserve">Criterion (weight in column E)</t>
  </si>
  <si>
    <t xml:space="preserve">Weight</t>
  </si>
  <si>
    <t xml:space="preserve">Risk-adjusted value (model-driven)</t>
  </si>
  <si>
    <t xml:space="preserve">Capital at risk - expected peak funding (model-driven; lower = better)</t>
  </si>
  <si>
    <t xml:space="preserve">Speed to market &amp; ramp</t>
  </si>
  <si>
    <t xml:space="preserve">Customer ownership, pricing power &amp; brand control</t>
  </si>
  <si>
    <t xml:space="preserve">Mid-market positioning / ACV quality</t>
  </si>
  <si>
    <t xml:space="preserve">Scalability &amp; ASEAN launchpad</t>
  </si>
  <si>
    <t xml:space="preserve">Execution simplicity (5 = easiest)</t>
  </si>
  <si>
    <t xml:space="preserve">Reversibility / exit flexibility</t>
  </si>
  <si>
    <t xml:space="preserve">Total weight</t>
  </si>
  <si>
    <t xml:space="preserve">WEIGHTED STRATEGIC SCORE (out of 5)</t>
  </si>
  <si>
    <t xml:space="preserve">E. RECOMMENDATION (formula-driven)</t>
  </si>
  <si>
    <t xml:space="preserve">Names</t>
  </si>
  <si>
    <t xml:space="preserve">Recommended entry mode (highest weighted score)</t>
  </si>
  <si>
    <t xml:space="preserve">Index of recommended mode (1=A, 2=B, 3=C)</t>
  </si>
  <si>
    <t xml:space="preserve">Sensitivity &amp; Break-even Analysis</t>
  </si>
  <si>
    <t xml:space="preserve">Section A-B: live formulas (recalculate with the model). Section C-D: static snapshots produced by re-running this workbook's own formulas under each shocked input (Excel cannot recalculate data tables written programmatically) - a live staleness flag is shown.</t>
  </si>
  <si>
    <t xml:space="preserve">A. LIVE - NPV INCL. VALUE BEYOND YEAR 3 (RM m): DISCOUNT RATE x TERMINAL GROWTH (Base case)</t>
  </si>
  <si>
    <t xml:space="preserve">Terminal growth -&gt;</t>
  </si>
  <si>
    <t xml:space="preserve">Discount rate (rows)</t>
  </si>
  <si>
    <t xml:space="preserve">B. LIVE - FX SENSITIVITY: BASE NPV INCL. TV IN INR CRORE</t>
  </si>
  <si>
    <t xml:space="preserve">INR per MYR</t>
  </si>
  <si>
    <t xml:space="preserve">Option A</t>
  </si>
  <si>
    <t xml:space="preserve">Option B</t>
  </si>
  <si>
    <t xml:space="preserve">Option C</t>
  </si>
  <si>
    <t xml:space="preserve">52-week range of MYR/INR: 20.72 (low) to 24.39 (high). RM-denominated value is unchanged; only the INR translation moves. Funding in RM is a natural hedge for RM costs.</t>
  </si>
  <si>
    <t xml:space="preserve">C. STATIC SNAPSHOT - TORNADO: IMPACT ON BASE-CASE NPV INCL. TV (RM m)</t>
  </si>
  <si>
    <t xml:space="preserve">Snapshot staleness check (live base NPV vs snapshot base NPV)</t>
  </si>
  <si>
    <t xml:space="preserve">Option A - Direct subsidiary  (snapshot base NPV: RM -2.62m)</t>
  </si>
  <si>
    <t xml:space="preserve">Adverse setting</t>
  </si>
  <si>
    <t xml:space="preserve">Favourable setting</t>
  </si>
  <si>
    <t xml:space="preserve">NPV adverse</t>
  </si>
  <si>
    <t xml:space="preserve">NPV favourable</t>
  </si>
  <si>
    <t xml:space="preserve">Swing</t>
  </si>
  <si>
    <t xml:space="preserve">New-logo volume</t>
  </si>
  <si>
    <t xml:space="preserve">x0.75</t>
  </si>
  <si>
    <t xml:space="preserve">x1.25</t>
  </si>
  <si>
    <t xml:space="preserve">Discount rate (WACC)</t>
  </si>
  <si>
    <t xml:space="preserve">15%</t>
  </si>
  <si>
    <t xml:space="preserve">10%</t>
  </si>
  <si>
    <t xml:space="preserve">Price realisation (ACV)</t>
  </si>
  <si>
    <t xml:space="preserve">-15%</t>
  </si>
  <si>
    <t xml:space="preserve">+15%</t>
  </si>
  <si>
    <t xml:space="preserve">Operating cost base</t>
  </si>
  <si>
    <t xml:space="preserve">-10%</t>
  </si>
  <si>
    <t xml:space="preserve">Post-horizon growth decay</t>
  </si>
  <si>
    <t xml:space="preserve">0.45</t>
  </si>
  <si>
    <t xml:space="preserve">0.75</t>
  </si>
  <si>
    <t xml:space="preserve">Steady-state EBITDA margin</t>
  </si>
  <si>
    <t xml:space="preserve">-5 pts</t>
  </si>
  <si>
    <t xml:space="preserve">+5 pts</t>
  </si>
  <si>
    <t xml:space="preserve">Terminal-value haircut</t>
  </si>
  <si>
    <t xml:space="preserve">40%</t>
  </si>
  <si>
    <t xml:space="preserve">0%</t>
  </si>
  <si>
    <t xml:space="preserve">Localisation engineering team</t>
  </si>
  <si>
    <t xml:space="preserve">+30%</t>
  </si>
  <si>
    <t xml:space="preserve">-30%</t>
  </si>
  <si>
    <t xml:space="preserve">Valuation method</t>
  </si>
  <si>
    <t xml:space="preserve">no growth fade</t>
  </si>
  <si>
    <t xml:space="preserve">growth fade (base)</t>
  </si>
  <si>
    <t xml:space="preserve">Logo churn</t>
  </si>
  <si>
    <t xml:space="preserve">+4 pts</t>
  </si>
  <si>
    <t xml:space="preserve">-3 pts</t>
  </si>
  <si>
    <t xml:space="preserve">Partner / dealer margin</t>
  </si>
  <si>
    <t xml:space="preserve">+8 pts</t>
  </si>
  <si>
    <t xml:space="preserve">-8 pts</t>
  </si>
  <si>
    <t xml:space="preserve">Malaysia Digital tax incentive</t>
  </si>
  <si>
    <t xml:space="preserve">not granted (base)</t>
  </si>
  <si>
    <t xml:space="preserve">granted (10%)</t>
  </si>
  <si>
    <t xml:space="preserve">Option B - Local partnership (alliance)  (snapshot base NPV: RM -0.52m)</t>
  </si>
  <si>
    <t xml:space="preserve">Option C - Distributor / dealer-led  (snapshot base NPV: RM -3.88m)</t>
  </si>
  <si>
    <t xml:space="preserve">Option B+ - Partnership with conditions precedent secured  (snapshot base NPV: RM 5.70m)</t>
  </si>
  <si>
    <t xml:space="preserve">D. STATIC SNAPSHOT - BREAK-EVEN: NEW-LOGO VOLUME NEEDED FOR BASE NPV = 0</t>
  </si>
  <si>
    <t xml:space="preserve">Volume multiplier at which Base-case NPV incl. TV = 0 (Base = 1.00x)</t>
  </si>
  <si>
    <t xml:space="preserve">Values &gt; 1.00x mean the Base plan does not break even on NPV; values &lt; 1.00x give a margin of safety.</t>
  </si>
  <si>
    <t xml:space="preserve">Implied Year-3 net ARR at break-even (RM m)</t>
  </si>
  <si>
    <t xml:space="preserve">Implied Year-3 closing customers at break-even (#)</t>
  </si>
  <si>
    <t xml:space="preserve">E. STATIC SNAPSHOT - PATH TO VALUE: WHAT EACH CONDITION PRECEDENT IS WORTH TO OPTION B (Base NPV, RM m)</t>
  </si>
  <si>
    <t xml:space="preserve">Lever (applied one at a time to Option B as drawn)</t>
  </si>
  <si>
    <t xml:space="preserve">Base NPV with lever</t>
  </si>
  <si>
    <t xml:space="preserve">Uplift vs as drawn</t>
  </si>
  <si>
    <t xml:space="preserve">Option B as drawn</t>
  </si>
  <si>
    <t xml:space="preserve">Lever 1 - Reuse core product: India localisation team -30%</t>
  </si>
  <si>
    <t xml:space="preserve">Lever 2 - Partner enablement: +20% deals per partner</t>
  </si>
  <si>
    <t xml:space="preserve">Lever 3 - Price discipline: +5% price realisation</t>
  </si>
  <si>
    <t xml:space="preserve">Lever 4 - Cost discipline: operating costs -10%</t>
  </si>
  <si>
    <t xml:space="preserve">Combined: levers 1-4 together (matches Option B+ Base NPV)</t>
  </si>
  <si>
    <t xml:space="preserve">Cross-check: the combined static run (edits to Option B inputs) must equal the live Model_B_Plus Base NPV.</t>
  </si>
  <si>
    <t xml:space="preserve">Risk Assessment - Commercial, Financial, Regulatory, Operational &amp; Strategic</t>
  </si>
  <si>
    <t xml:space="preserve">Likelihood and impact scored 1-5 (blue, editable). Score = L x I. Rating: &gt;=15 Critical, 10-14 High, 5-9 Medium, &lt;5 Low. Residual = after mitigation.</t>
  </si>
  <si>
    <t xml:space="preserve">ID</t>
  </si>
  <si>
    <t xml:space="preserve">Category</t>
  </si>
  <si>
    <t xml:space="preserve">Risk</t>
  </si>
  <si>
    <t xml:space="preserve">Root cause / trigger</t>
  </si>
  <si>
    <t xml:space="preserve">L</t>
  </si>
  <si>
    <t xml:space="preserve">I</t>
  </si>
  <si>
    <t xml:space="preserve">Score</t>
  </si>
  <si>
    <t xml:space="preserve">Rating</t>
  </si>
  <si>
    <t xml:space="preserve">Mitigation</t>
  </si>
  <si>
    <t xml:space="preserve">Res. L</t>
  </si>
  <si>
    <t xml:space="preserve">Res. I</t>
  </si>
  <si>
    <t xml:space="preserve">Res. score</t>
  </si>
  <si>
    <t xml:space="preserve">Res. rating</t>
  </si>
  <si>
    <t xml:space="preserve">Early-warning KPI</t>
  </si>
  <si>
    <t xml:space="preserve">C1</t>
  </si>
  <si>
    <t xml:space="preserve">Commercial</t>
  </si>
  <si>
    <t xml:space="preserve">Incumbent lock-in and price response (AutoCount, SQL Account, SAP/Microsoft partners)</t>
  </si>
  <si>
    <t xml:space="preserve">Dealer loyalty; incumbents bundle e-invoicing; discounts on renewal</t>
  </si>
  <si>
    <t xml:space="preserve">Avoid head-on SME accounting; lead with mid-market distribution/manufacturing where Tier-1 vertical scores are highest; value-based bundles; partner exclusivity by vertical.</t>
  </si>
  <si>
    <t xml:space="preserve">Win rate vs named incumbents; average discount %</t>
  </si>
  <si>
    <t xml:space="preserve">C2</t>
  </si>
  <si>
    <t xml:space="preserve">Slow trust-building: no local references or brand</t>
  </si>
  <si>
    <t xml:space="preserve">Buyers prefer known local vendors; 4-9 month ERP cycles</t>
  </si>
  <si>
    <t xml:space="preserve">5-8 lighthouse customers via anchor partner with reference rights; in-country hosting; ISO 27001; MDEC/chamber endorsement.</t>
  </si>
  <si>
    <t xml:space="preserve">Reference customers live; pipeline coverage 3x</t>
  </si>
  <si>
    <t xml:space="preserve">C3</t>
  </si>
  <si>
    <t xml:space="preserve">Partners also sell competing ERPs; weak certification</t>
  </si>
  <si>
    <t xml:space="preserve">Tiered partner programme, minimum quota &amp; certification, scorecards, 90-day activation test, vertical exclusivity swaps.</t>
  </si>
  <si>
    <t xml:space="preserve">Head of Partners</t>
  </si>
  <si>
    <t xml:space="preserve">Active partners; deals per partner</t>
  </si>
  <si>
    <t xml:space="preserve">C4</t>
  </si>
  <si>
    <t xml:space="preserve">e-Invoicing demand pull-forward fades</t>
  </si>
  <si>
    <t xml:space="preserve">AutoCount reports demand normalising after 2025 surge; RM1m exemption threshold limits the mandate</t>
  </si>
  <si>
    <t xml:space="preserve">Reposition from compliance to operational ERP value (inventory, costing, credit control); land with e-invoicing but expand modules.</t>
  </si>
  <si>
    <t xml:space="preserve">Marketing lead</t>
  </si>
  <si>
    <t xml:space="preserve">Share of deals won on non-compliance value</t>
  </si>
  <si>
    <t xml:space="preserve">C5</t>
  </si>
  <si>
    <t xml:space="preserve">Price erosion and SME price sensitivity</t>
  </si>
  <si>
    <t xml:space="preserve">Leader ARPU ~RM315; low-cost cloud alternatives</t>
  </si>
  <si>
    <t xml:space="preserve">Tiered packaging; annual prepay discount; avoid Starter-led volume plan.</t>
  </si>
  <si>
    <t xml:space="preserve">ACV vs plan; discount depth</t>
  </si>
  <si>
    <t xml:space="preserve">C6</t>
  </si>
  <si>
    <t xml:space="preserve">Local scale-up by Indian peer (Zoho office opened Jan 2026) and global SaaS</t>
  </si>
  <si>
    <t xml:space="preserve">Zoho price accessibility plus local team</t>
  </si>
  <si>
    <t xml:space="preserve">Differentiate on mid-market depth, vertical workflows and implementation quality; consider joint ecosystem plays.</t>
  </si>
  <si>
    <t xml:space="preserve">Product head</t>
  </si>
  <si>
    <t xml:space="preserve">Competitive loss reasons</t>
  </si>
  <si>
    <t xml:space="preserve">C7</t>
  </si>
  <si>
    <t xml:space="preserve">Customer churn above plan</t>
  </si>
  <si>
    <t xml:space="preserve">Poor implementation; SME business failure</t>
  </si>
  <si>
    <t xml:space="preserve">Implementation quality gates; customer-success cadence; annual contracts.</t>
  </si>
  <si>
    <t xml:space="preserve">Customer Success</t>
  </si>
  <si>
    <t xml:space="preserve">Gross logo retention &gt;= 91% (mid-market)</t>
  </si>
  <si>
    <t xml:space="preserve">F1</t>
  </si>
  <si>
    <t xml:space="preserve">Financial</t>
  </si>
  <si>
    <t xml:space="preserve">MYR/INR currency volatility</t>
  </si>
  <si>
    <t xml:space="preserve">52-week MYR/INR range 20.7-24.4</t>
  </si>
  <si>
    <t xml:space="preserve">Fund in RM; stage remittances; natural hedge on RM costs; periodic hedge review.</t>
  </si>
  <si>
    <t xml:space="preserve">Group CFO</t>
  </si>
  <si>
    <t xml:space="preserve">FX variance vs budget</t>
  </si>
  <si>
    <t xml:space="preserve">F2</t>
  </si>
  <si>
    <t xml:space="preserve">Cost overrun and later break-even</t>
  </si>
  <si>
    <t xml:space="preserve">Wage inflation; longer sales cycles; localisation scope creep</t>
  </si>
  <si>
    <t xml:space="preserve">Stage-gated capital release; 5% contingency; monthly burn review; opex cap per gate.</t>
  </si>
  <si>
    <t xml:space="preserve">Burn vs plan; months to breakeven</t>
  </si>
  <si>
    <t xml:space="preserve">F3</t>
  </si>
  <si>
    <t xml:space="preserve">Valuation depends heavily on value beyond Year 3</t>
  </si>
  <si>
    <t xml:space="preserve">3-year explicit cash flows are negative; TV drives NPV</t>
  </si>
  <si>
    <t xml:space="preserve">Gate on ARR milestones; present NPV with and without TV; 20% TV haircut; break-even volume analysis.</t>
  </si>
  <si>
    <t xml:space="preserve">ARR vs gate thresholds</t>
  </si>
  <si>
    <t xml:space="preserve">F4</t>
  </si>
  <si>
    <t xml:space="preserve">Receivables / working capital strain</t>
  </si>
  <si>
    <t xml:space="preserve">SME payment delays</t>
  </si>
  <si>
    <t xml:space="preserve">Annual in-advance billing; direct debit; credit checks (e.g., CTOS).</t>
  </si>
  <si>
    <t xml:space="preserve">Finance lead</t>
  </si>
  <si>
    <t xml:space="preserve">DSO</t>
  </si>
  <si>
    <t xml:space="preserve">F5</t>
  </si>
  <si>
    <t xml:space="preserve">Tax leakage: withholding tax and transfer-pricing scrutiny</t>
  </si>
  <si>
    <t xml:space="preserve">10% WHT on royalties/technical fees (India-Malaysia DTA cap 10%); s.140A scrutiny of related-party charges</t>
  </si>
  <si>
    <t xml:space="preserve">Arm's-length IP licence &amp; services agreements; TP documentation; treaty-rate certificates; tax counsel.</t>
  </si>
  <si>
    <t xml:space="preserve">Group tax head</t>
  </si>
  <si>
    <t xml:space="preserve">Effective tax rate vs plan</t>
  </si>
  <si>
    <t xml:space="preserve">R1</t>
  </si>
  <si>
    <t xml:space="preserve">Regulatory</t>
  </si>
  <si>
    <t xml:space="preserve">PDPA (as amended 2024) compliance: DPO, breach notification, processor duties</t>
  </si>
  <si>
    <t xml:space="preserve">Direct processor obligations; fines up to RM1m</t>
  </si>
  <si>
    <t xml:space="preserve">Appoint DPO; data-processing agreements; breach playbook; ISO 27001; data-protection impact assessments.</t>
  </si>
  <si>
    <t xml:space="preserve">Compliance lead</t>
  </si>
  <si>
    <t xml:space="preserve">Audit findings; breach response time</t>
  </si>
  <si>
    <t xml:space="preserve">R2</t>
  </si>
  <si>
    <t xml:space="preserve">MyInvois / e-invoice specification changes</t>
  </si>
  <si>
    <t xml:space="preserve">LHDN phases, thresholds and relaxation periods have shifted repeatedly</t>
  </si>
  <si>
    <t xml:space="preserve">Dedicated compliance squad; sandbox testing; automatic schema updates; track LHDN circulars.</t>
  </si>
  <si>
    <t xml:space="preserve">Time to ship regulatory change</t>
  </si>
  <si>
    <t xml:space="preserve">R3</t>
  </si>
  <si>
    <t xml:space="preserve">Service tax (SST) scope and foreign-provider registration</t>
  </si>
  <si>
    <t xml:space="preserve">8% service tax; digital services by foreign provider above RM500k; 2026 RMCD IT services guide</t>
  </si>
  <si>
    <t xml:space="preserve">Register early; model SST pass-through; advisory review of contract structure (licence vs service).</t>
  </si>
  <si>
    <t xml:space="preserve">SST filings on time</t>
  </si>
  <si>
    <t xml:space="preserve">R4</t>
  </si>
  <si>
    <t xml:space="preserve">Malaysia Digital status not granted or conditions bind</t>
  </si>
  <si>
    <t xml:space="preserve">MDEC approval, local employment/spend conditions</t>
  </si>
  <si>
    <t xml:space="preserve">Base case excludes the incentive; apply in parallel; do not depend on it.</t>
  </si>
  <si>
    <t xml:space="preserve">MD application status</t>
  </si>
  <si>
    <t xml:space="preserve">R5</t>
  </si>
  <si>
    <t xml:space="preserve">Sector cybersecurity / data-residency expectations flow down to vendors</t>
  </si>
  <si>
    <t xml:space="preserve">Cyber Security Act 2024 obligations on critical-sector entities; customer procurement requirements</t>
  </si>
  <si>
    <t xml:space="preserve">In-country cloud region; security attestation; contractual data-location commitments.</t>
  </si>
  <si>
    <t xml:space="preserve">CTO</t>
  </si>
  <si>
    <t xml:space="preserve">Customer security questionnaires passed</t>
  </si>
  <si>
    <t xml:space="preserve">R6</t>
  </si>
  <si>
    <t xml:space="preserve">Work-pass constraints for India secondees</t>
  </si>
  <si>
    <t xml:space="preserve">Expatriate pass categories and salary thresholds</t>
  </si>
  <si>
    <t xml:space="preserve">Start EP applications early; localise hiring; rotate short-term assignments.</t>
  </si>
  <si>
    <t xml:space="preserve">HR lead</t>
  </si>
  <si>
    <t xml:space="preserve">Time to EP approval</t>
  </si>
  <si>
    <t xml:space="preserve">O1</t>
  </si>
  <si>
    <t xml:space="preserve">Operational</t>
  </si>
  <si>
    <t xml:space="preserve">Localisation quality or delay (MyInvois, EPF/SOCSO/EIS/PCB payroll, Bahasa Melayu)</t>
  </si>
  <si>
    <t xml:space="preserve">Under-scoped statutory logic</t>
  </si>
  <si>
    <t xml:space="preserve">Local compliance advisor; certified test packs; design-partner testing before launch (Gate 1).</t>
  </si>
  <si>
    <t xml:space="preserve">Defects in compliance modules</t>
  </si>
  <si>
    <t xml:space="preserve">O2</t>
  </si>
  <si>
    <t xml:space="preserve">Talent attraction and attrition (pre-sales, implementation)</t>
  </si>
  <si>
    <t xml:space="preserve">Competition for KL tech talent</t>
  </si>
  <si>
    <t xml:space="preserve">Partners deliver most implementations (Option B/C); retention bonuses; India secondees for ramp.</t>
  </si>
  <si>
    <t xml:space="preserve">Attrition %</t>
  </si>
  <si>
    <t xml:space="preserve">O3</t>
  </si>
  <si>
    <t xml:space="preserve">Implementation quality and capacity</t>
  </si>
  <si>
    <t xml:space="preserve">Partner delivery inconsistent</t>
  </si>
  <si>
    <t xml:space="preserve">Certification; methodology; Company-led complex projects; customer-success QA.</t>
  </si>
  <si>
    <t xml:space="preserve">Delivery head</t>
  </si>
  <si>
    <t xml:space="preserve">Go-live on time %; NPS</t>
  </si>
  <si>
    <t xml:space="preserve">O4</t>
  </si>
  <si>
    <t xml:space="preserve">Governance and management bandwidth across India-Malaysia</t>
  </si>
  <si>
    <t xml:space="preserve">Dual-time-zone coordination (~2.5 hours); founder attention</t>
  </si>
  <si>
    <t xml:space="preserve">Clear charter; local GM with delegated authority; monthly steering committee.</t>
  </si>
  <si>
    <t xml:space="preserve">Group COO</t>
  </si>
  <si>
    <t xml:space="preserve">Decision cycle time</t>
  </si>
  <si>
    <t xml:space="preserve">O5</t>
  </si>
  <si>
    <t xml:space="preserve">Hosting reliability and in-country uptime</t>
  </si>
  <si>
    <t xml:space="preserve">Regional cloud outages</t>
  </si>
  <si>
    <t xml:space="preserve">Multi-zone deployment; SLAs; DR testing.</t>
  </si>
  <si>
    <t xml:space="preserve">Uptime vs SLA</t>
  </si>
  <si>
    <t xml:space="preserve">S1</t>
  </si>
  <si>
    <t xml:space="preserve">Strategic</t>
  </si>
  <si>
    <t xml:space="preserve">Brand, language and cultural fit across a multi-ethnic SME base</t>
  </si>
  <si>
    <t xml:space="preserve">Bahasa Melayu / English / Mandarin-speaking buyers</t>
  </si>
  <si>
    <t xml:space="preserve">Localised content; local sales hires; partner diversity.</t>
  </si>
  <si>
    <t xml:space="preserve">Win rate by segment</t>
  </si>
  <si>
    <t xml:space="preserve">S2</t>
  </si>
  <si>
    <t xml:space="preserve">Diversion of management and engineering capacity from India core</t>
  </si>
  <si>
    <t xml:space="preserve">Opportunity cost</t>
  </si>
  <si>
    <t xml:space="preserve">Ring-fenced team; stage gates; separate P&amp;L.</t>
  </si>
  <si>
    <t xml:space="preserve">CEO</t>
  </si>
  <si>
    <t xml:space="preserve">Core India growth vs plan</t>
  </si>
  <si>
    <t xml:space="preserve">S3</t>
  </si>
  <si>
    <t xml:space="preserve">Exit difficulty if the market underperforms</t>
  </si>
  <si>
    <t xml:space="preserve">Sunk localisation costs</t>
  </si>
  <si>
    <t xml:space="preserve">Partner model keeps fixed costs low; staged commitments; IP stays in India.</t>
  </si>
  <si>
    <t xml:space="preserve">Exit cost estimate</t>
  </si>
  <si>
    <t xml:space="preserve">SUMMARY BY CATEGORY (count of risks)</t>
  </si>
  <si>
    <t xml:space="preserve">Inherent Critical</t>
  </si>
  <si>
    <t xml:space="preserve">Inherent High</t>
  </si>
  <si>
    <t xml:space="preserve">Residual Critical</t>
  </si>
  <si>
    <t xml:space="preserve">Residual High</t>
  </si>
  <si>
    <t xml:space="preserve">Avg inherent score</t>
  </si>
  <si>
    <t xml:space="preserve">Avg residual score</t>
  </si>
  <si>
    <t xml:space="preserve">Total</t>
  </si>
  <si>
    <t xml:space="preserve">INHERENT HEAT MAP - number of risks at each Likelihood x Impact cell</t>
  </si>
  <si>
    <t xml:space="preserve">Likelihood \ Impact</t>
  </si>
  <si>
    <t xml:space="preserve">Implementation Roadmap &amp; Stage Gates (recommended entry mode: Option B+, partnership with conditions precedent)</t>
  </si>
  <si>
    <t xml:space="preserve">Gantt cells fill automatically from the start/end quarter indices (blue). Year 0 = Q4-26 to Q1-27 (pre-launch). Commercial launch Q2-27. Year 1 = Q2-27..Q1-28; Year 2 = Q2-28..Q1-29; Year 3 = Q2-29..Q1-30.</t>
  </si>
  <si>
    <t xml:space="preserve">Workstream</t>
  </si>
  <si>
    <t xml:space="preserve">Start Q#</t>
  </si>
  <si>
    <t xml:space="preserve">End Q#</t>
  </si>
  <si>
    <t xml:space="preserve">Key deliverable</t>
  </si>
  <si>
    <t xml:space="preserve">Q4-26</t>
  </si>
  <si>
    <t xml:space="preserve">Q1-27</t>
  </si>
  <si>
    <t xml:space="preserve">Q2-27</t>
  </si>
  <si>
    <t xml:space="preserve">Q3-27</t>
  </si>
  <si>
    <t xml:space="preserve">Q4-27</t>
  </si>
  <si>
    <t xml:space="preserve">Q1-28</t>
  </si>
  <si>
    <t xml:space="preserve">Q2-28</t>
  </si>
  <si>
    <t xml:space="preserve">Q3-28</t>
  </si>
  <si>
    <t xml:space="preserve">Q4-28</t>
  </si>
  <si>
    <t xml:space="preserve">Q1-29</t>
  </si>
  <si>
    <t xml:space="preserve">Q2-29</t>
  </si>
  <si>
    <t xml:space="preserve">Q3-29</t>
  </si>
  <si>
    <t xml:space="preserve">Q4-29</t>
  </si>
  <si>
    <t xml:space="preserve">Q1-30</t>
  </si>
  <si>
    <t xml:space="preserve">Quarter index -&gt;</t>
  </si>
  <si>
    <t xml:space="preserve">Governance &amp; stage gates (Board, steering committee)</t>
  </si>
  <si>
    <t xml:space="preserve">CEO / Board</t>
  </si>
  <si>
    <t xml:space="preserve">Gate 0-4 decisions</t>
  </si>
  <si>
    <t xml:space="preserve">Entity set-up: Sdn Bhd, banking, tax &amp; SST registration</t>
  </si>
  <si>
    <t xml:space="preserve">Operating entity live</t>
  </si>
  <si>
    <t xml:space="preserve">Malaysia Digital (MDEC) status application</t>
  </si>
  <si>
    <t xml:space="preserve">Incentive decision</t>
  </si>
  <si>
    <t xml:space="preserve">Product localisation MVP: MyInvois, SST, statutory payroll, Bahasa Melayu</t>
  </si>
  <si>
    <t xml:space="preserve">Certified compliance release</t>
  </si>
  <si>
    <t xml:space="preserve">Product depth: manufacturing &amp; distribution modules (Tier-1 verticals)</t>
  </si>
  <si>
    <t xml:space="preserve">Vertical packs v1-v2</t>
  </si>
  <si>
    <t xml:space="preserve">In-country hosting, ISO 27001, PDPA / DPO set-up</t>
  </si>
  <si>
    <t xml:space="preserve">CTO / Compliance</t>
  </si>
  <si>
    <t xml:space="preserve">Security attestation</t>
  </si>
  <si>
    <t xml:space="preserve">Partner selection &amp; contracting (anchor SI + first partners)</t>
  </si>
  <si>
    <t xml:space="preserve">4 partners signed</t>
  </si>
  <si>
    <t xml:space="preserve">Partner onboarding &amp; certification waves</t>
  </si>
  <si>
    <t xml:space="preserve">9 active partners by Y2</t>
  </si>
  <si>
    <t xml:space="preserve">Lighthouse customers / design partners (5-8)</t>
  </si>
  <si>
    <t xml:space="preserve">Reference customers</t>
  </si>
  <si>
    <t xml:space="preserve">Go-to-market: launch, content, events, SME-grant vendor listing</t>
  </si>
  <si>
    <t xml:space="preserve">Pipeline 3x quota</t>
  </si>
  <si>
    <t xml:space="preserve">Customer success &amp; support build</t>
  </si>
  <si>
    <t xml:space="preserve">Retention &gt;= 91%</t>
  </si>
  <si>
    <t xml:space="preserve">Optional direct key-account desk (if Gate 3 passed)</t>
  </si>
  <si>
    <t xml:space="preserve">Large-account pilots</t>
  </si>
  <si>
    <t xml:space="preserve">ASEAN expansion decision (e.g., Singapore, Indonesia)</t>
  </si>
  <si>
    <t xml:space="preserve">Scale / hold decision</t>
  </si>
  <si>
    <t xml:space="preserve">Gate markers (G0 Q4-26 | G1 Q2-27 | G2 Q1-28 | G3 Q1-29 | G4 Q1-30)</t>
  </si>
  <si>
    <t xml:space="preserve">G0</t>
  </si>
  <si>
    <t xml:space="preserve">G1</t>
  </si>
  <si>
    <t xml:space="preserve">G2</t>
  </si>
  <si>
    <t xml:space="preserve">G3</t>
  </si>
  <si>
    <t xml:space="preserve">G4</t>
  </si>
  <si>
    <t xml:space="preserve">STAGE-GATE CAPITAL RELEASE &amp; GO/NO-GO CRITERIA (Option B+, Base case; thresholds are live from the model)</t>
  </si>
  <si>
    <t xml:space="preserve">Gate / decision</t>
  </si>
  <si>
    <t xml:space="preserve">Timing</t>
  </si>
  <si>
    <t xml:space="preserve">Capital released next (RM m)</t>
  </si>
  <si>
    <t xml:space="preserve">Go criteria (all must hold)</t>
  </si>
  <si>
    <t xml:space="preserve">Gate 0 - Board approval to start Phase 1 (foundation)</t>
  </si>
  <si>
    <t xml:space="preserve">Board accepts the stage-gated envelope; Phase-0 customer/partner interviews (25 + 10) confirm funnel assumptions; anchor-partner term sheet agreed.</t>
  </si>
  <si>
    <t xml:space="preserve">Gate 1 - Launch readiness</t>
  </si>
  <si>
    <t xml:space="preserve">MyInvois-certified release; &gt;= 4 partners signed incl. anchor; &gt;= 5 design-partner customers committed; in-country hosting + ISO 27001 plan on track; DPO appointed.</t>
  </si>
  <si>
    <t xml:space="preserve">Gate 2 - Year-1 review (scale partner programme)</t>
  </si>
  <si>
    <t xml:space="preserve">Gate 3 - Year-2 review (invest in depth / consider direct key-account desk)</t>
  </si>
  <si>
    <t xml:space="preserve">Gate 4 - Year-3 review (scale / ASEAN / hold / exit)</t>
  </si>
  <si>
    <t xml:space="preserve">Sources, Evidence Quality &amp; Judgement Register</t>
  </si>
  <si>
    <t xml:space="preserve">Research conducted October 2026. Verify regulatory items against primary sources before relying on them for legal or tax decisions.</t>
  </si>
  <si>
    <t xml:space="preserve">Topic</t>
  </si>
  <si>
    <t xml:space="preserve">Fact used</t>
  </si>
  <si>
    <t xml:space="preserve">Source</t>
  </si>
  <si>
    <t xml:space="preserve">URL</t>
  </si>
  <si>
    <t xml:space="preserve">Reliability</t>
  </si>
  <si>
    <t xml:space="preserve">Market structure</t>
  </si>
  <si>
    <t xml:space="preserve">1,101,725 MSMEs (96.9% of establishments) in 2023; micro 767,421, small 314,465, medium 19,839; sector split</t>
  </si>
  <si>
    <t xml:space="preserve">DOSM via SME Corp - Profile and Importance to the Economy (updated Sep 2024)</t>
  </si>
  <si>
    <t xml:space="preserve">https://smecorp.gov.my/index.php/en/policies/2020-02-11-08-01-24/profile-and-importance-to-the-economy</t>
  </si>
  <si>
    <t xml:space="preserve">High</t>
  </si>
  <si>
    <t xml:space="preserve">MSMEs 96.1% (1,086,386) of establishments in 2024; MSME GDP +5.8% in 2024</t>
  </si>
  <si>
    <t xml:space="preserve">OECD Financing SMEs and Entrepreneurs 2026 - Malaysia (DOSM data)</t>
  </si>
  <si>
    <t xml:space="preserve">https://www.oecd.org/en/publications/financing-smes-and-entrepreneurs-2026_bb7fc5c4-en/malaysia_ebf7a4e9-en.html</t>
  </si>
  <si>
    <t xml:space="preserve">Services 87.1% of active establishments; wholesale &amp; retail 47.0% and F&amp;B 14.4% of services; Selangor 25.3%, KL 13.8%, Johor 11.4%; manufacturing sub-sector mix</t>
  </si>
  <si>
    <t xml:space="preserve">DOSM Economic Census 2023 (Bernama/Malay Mail, 29 Dec 2023)</t>
  </si>
  <si>
    <t xml:space="preserve">https://www.malaymail.com/news/malaysia/2023/12/29/dosm-economic-census-2023-records-12m-establishments-949360-as-active-in-services-sector/109769</t>
  </si>
  <si>
    <t xml:space="preserve">Macro</t>
  </si>
  <si>
    <t xml:space="preserve">MSME GDP +5.7% to ~RM690bn in 2025 (39.7% of GDP); economy +5.2% in 2025; MSME exports +10.5%</t>
  </si>
  <si>
    <t xml:space="preserve">Malay Mail, 31 Jul 2026 (SME Corp / DOSM)</t>
  </si>
  <si>
    <t xml:space="preserve">https://www.malaymail.com/news/malaysia/2026/07/31/govt-shifts-focus-to-scaling-up-msmes-after-resilient-2025-says-minister/229726</t>
  </si>
  <si>
    <t xml:space="preserve">2Q26 GDP +6.0% y/y; 1H26 +5.7%; BNM 2026 forecast 4-5% (governor: around 5%); OPR 2.75%; inflation 1.5-2.5%</t>
  </si>
  <si>
    <t xml:space="preserve">Bernama / The Edge / Business Today, Aug 2026</t>
  </si>
  <si>
    <t xml:space="preserve">https://www.bernama.com/en/news.php?id=2594280</t>
  </si>
  <si>
    <t xml:space="preserve">Regulation</t>
  </si>
  <si>
    <t xml:space="preserve">E-invoicing phases; Phase 4 (RM1m-5m) from 1 Jan 2026; exemption threshold raised to RM1m; relaxation period (sources differ: 30 Jun 2026 vs 31 Dec 2027 - verify at hasil.gov.my)</t>
  </si>
  <si>
    <t xml:space="preserve">LHDN announcements via Bernama/NST (Jun 2025); secondary guides (Dec 2025-Apr 2026)</t>
  </si>
  <si>
    <t xml:space="preserve">https://www.bernama.com/en/news.php?id=2431266</t>
  </si>
  <si>
    <t xml:space="preserve">Medium-High (verify)</t>
  </si>
  <si>
    <t xml:space="preserve">PDPA Amendment Act 2024: DPO appointment and breach notification from 1 Jun 2025; data processors directly liable from 1 Apr 2025; cross-border transfer test; higher penalties</t>
  </si>
  <si>
    <t xml:space="preserve">Baker McKenzie / Wong &amp; Partners; Legal 500 (Tay &amp; Partners)</t>
  </si>
  <si>
    <t xml:space="preserve">https://insightplus.bakermckenzie.com/bm/data-technology/malaysia-personal-data-protection-amendment-act-2024-to-come-into-force</t>
  </si>
  <si>
    <t xml:space="preserve">Service tax 8% on taxable IT/digital services; foreign digital service providers register above RM500,000; RMCD IT Services Guide updated 26 Feb 2026</t>
  </si>
  <si>
    <t xml:space="preserve">PwC Malaysian Tax Booklet 2025/26; Wolters Kluwer (30 Jul 2026); RMCD guidance</t>
  </si>
  <si>
    <t xml:space="preserve">https://www.pwc.com/my/en/publications/mtb/service-tax.html</t>
  </si>
  <si>
    <t xml:space="preserve">Tax</t>
  </si>
  <si>
    <t xml:space="preserve">MD tax incentive: New Investment 0% on IP income / 5% or 10% on non-IP income for 10 years; Expansion 15% for 5 years</t>
  </si>
  <si>
    <t xml:space="preserve">MDEC media release, 31 May 2024</t>
  </si>
  <si>
    <t xml:space="preserve">https://mdec.my/media-release/news-press-release/318/malaysias-new-md-tax-incentive</t>
  </si>
  <si>
    <t xml:space="preserve">CIT 24%; foreign-owned companies generally excluded from SME rates; WHT 10% royalties / technical fees; India-Malaysia DTA caps dividends/interest/royalties/FTS at 10%</t>
  </si>
  <si>
    <t xml:space="preserve">ASEAN Briefing; Horizon Hub tax guide; Nishith Desai (India-Malaysia DTA)</t>
  </si>
  <si>
    <t xml:space="preserve">https://www.aseanbriefing.com/news/corporate-tax-considerations-for-foreign-owned-companies-in-malaysia/</t>
  </si>
  <si>
    <t xml:space="preserve">Medium-High (confirm with tax counsel)</t>
  </si>
  <si>
    <t xml:space="preserve">Competition</t>
  </si>
  <si>
    <t xml:space="preserve">AutoCount FY25 revenue RM75.5m (+24.6%), PAT RM31.2m; recurring revenue ~30% of Q4 revenue; revenue declined in 2026 quarters as e-invoicing demand normalised</t>
  </si>
  <si>
    <t xml:space="preserve">The Sun (Feb 2026); Quartr summaries</t>
  </si>
  <si>
    <t xml:space="preserve">https://thesun.my/business/autocount-delivers-record-fy25-as-pat-jumps-58-saas-momentum-lifts-margins/</t>
  </si>
  <si>
    <t xml:space="preserve">High / Medium</t>
  </si>
  <si>
    <t xml:space="preserve">AutoCount: &gt;240,000 companies, ~300 dealers, Bursa ACE listing May 2023</t>
  </si>
  <si>
    <t xml:space="preserve">AutoCount company profile pages</t>
  </si>
  <si>
    <t xml:space="preserve">https://ph.autocountsoft.com/</t>
  </si>
  <si>
    <t xml:space="preserve">Medium-High</t>
  </si>
  <si>
    <t xml:space="preserve">SQL Account: &gt;600,000 users (reseller claim)</t>
  </si>
  <si>
    <t xml:space="preserve">KC Group reseller comparison guide 2026</t>
  </si>
  <si>
    <t xml:space="preserve">https://kcgroup.biz/?p=2075</t>
  </si>
  <si>
    <t xml:space="preserve">Low (unverified claim)</t>
  </si>
  <si>
    <t xml:space="preserve">Zoho opened Malaysia office 27 Jan 2026; ManageEngine Malaysia +25% growth in 2025; Zoho Books e-invoice extension</t>
  </si>
  <si>
    <t xml:space="preserve">ManageEngine/Zoho press release; CRN Asia; Zoho Marketplace</t>
  </si>
  <si>
    <t xml:space="preserve">https://www.manageengine.com/news/zoho-corporation-malaysia-office-launch.html</t>
  </si>
  <si>
    <t xml:space="preserve">HashMicro, Odoo, SQL, Kladana, ECOUNT listed among ERP options for Malaysian SMEs; ERP total cost RM10,000-150,000+</t>
  </si>
  <si>
    <t xml:space="preserve">Vendor/buyer-guide blogs (Kladana, SearchNEasy, ECOUNT)</t>
  </si>
  <si>
    <t xml:space="preserve">https://kladana.com/blog/erp/best-erp-software-in-malaysia</t>
  </si>
  <si>
    <t xml:space="preserve">Low (marketing content)</t>
  </si>
  <si>
    <t xml:space="preserve">Demand drivers</t>
  </si>
  <si>
    <t xml:space="preserve">SME digitalisation grants, cloud ERP adoption among mid-tier SMEs improved in 2025; Budget 2026: RM1bn financing/grants via DFIs for SME automation and digitalisation; RM50m digital matching grants</t>
  </si>
  <si>
    <t xml:space="preserve">Malay Mail (Samenta, Dec 2025); PIKOM via Business Today (Oct 2025); The Vibes (May 2025)</t>
  </si>
  <si>
    <t xml:space="preserve">https://www.businesstoday.com.my/2025/10/11/budget-2026-progress-for-digital-malaysia-but-policy-coherence-and-sme-uptake-still-lag/</t>
  </si>
  <si>
    <t xml:space="preserve">Market growth</t>
  </si>
  <si>
    <t xml:space="preserve">Malaysia ERP CAGR 7.5% (manufacturing ERP niche) to 10.4% (broad ERP) - used only to bracket the 9% assumption</t>
  </si>
  <si>
    <t xml:space="preserve">Secondary market-research summaries</t>
  </si>
  <si>
    <t xml:space="preserve">https://www.bigseller.pro/blog/articleDetails/4508/top-erp-tools-malaysia-2026.htm</t>
  </si>
  <si>
    <t xml:space="preserve">Low</t>
  </si>
  <si>
    <t xml:space="preserve">Costs</t>
  </si>
  <si>
    <t xml:space="preserve">KL salary benchmarks: sales manager ~RM7.5k/month; BD manager RM120-160k p.a.; software engineer RM5-9k/month; IT PM RM8-15k/month</t>
  </si>
  <si>
    <t xml:space="preserve">AJobThing; StashAway; Ined Jobs; Second Talent (2026)</t>
  </si>
  <si>
    <t xml:space="preserve">https://www.ajobthing.com/resources/recruitment-tools/salary-comparison-tool/sales-manager-salary-in-kuala-lumpur</t>
  </si>
  <si>
    <t xml:space="preserve">FX</t>
  </si>
  <si>
    <t xml:space="preserve">MYR/INR ~23.3-23.6 (Aug 2026); 52-week range 20.72-24.39</t>
  </si>
  <si>
    <t xml:space="preserve">Frankfurter/ECB-based rate pages (xe-style, ValutaFX)</t>
  </si>
  <si>
    <t xml:space="preserve">https://www.valutafx.com/history/myr-inr-2026-08-03</t>
  </si>
  <si>
    <t xml:space="preserve">JUDGEMENT REGISTER - assumptions that are NOT sourced facts, and how Phase 0 should validate them</t>
  </si>
  <si>
    <t xml:space="preserve">Assumption</t>
  </si>
  <si>
    <t xml:space="preserve">Basis</t>
  </si>
  <si>
    <t xml:space="preserve">Validation plan</t>
  </si>
  <si>
    <t xml:space="preserve">Funnel percentages (vertical relevance, ERP-grade need, product fit)</t>
  </si>
  <si>
    <t xml:space="preserve">Not published by DOSM; set from sector mix and e-invoice thresholds</t>
  </si>
  <si>
    <t xml:space="preserve">25 customer interviews + survey of 150 firms in Klang Valley/Penang/Johor</t>
  </si>
  <si>
    <t xml:space="preserve">Sales productivity per AE / partner / dealer</t>
  </si>
  <si>
    <t xml:space="preserve">Industry channel benchmarks; unvalidated for this product</t>
  </si>
  <si>
    <t xml:space="preserve">10 partner interviews; 90-day activation pilot with 3 partners</t>
  </si>
  <si>
    <t xml:space="preserve">ACV and implementation fee by tier</t>
  </si>
  <si>
    <t xml:space="preserve">Triangulated from competitor price signals</t>
  </si>
  <si>
    <t xml:space="preserve">Price-testing with design partners; win/loss on first 20 quotes</t>
  </si>
  <si>
    <t xml:space="preserve">Scenario probabilities</t>
  </si>
  <si>
    <t xml:space="preserve">Judgement; reflects relative execution risk by entry mode</t>
  </si>
  <si>
    <t xml:space="preserve">Re-weight after Gate 1 evidence</t>
  </si>
  <si>
    <t xml:space="preserve">Terminal-value margin &amp; haircut</t>
  </si>
  <si>
    <t xml:space="preserve">Mature SaaS/services margins with execution haircut</t>
  </si>
  <si>
    <t xml:space="preserve">Benchmark vs listed regional peers at Gate 3</t>
  </si>
  <si>
    <t xml:space="preserve">Client profile and risk appetite</t>
  </si>
  <si>
    <t xml:space="preserve">ILLUSTRATIVE: mid-sized Indian ERP vendor with RM10-12m exposure appetite</t>
  </si>
  <si>
    <t xml:space="preserve">Replace with client actuals and Board envelope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</si>
</sst>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;\(#,##0.00\);\-"/>
    <numFmt numFmtId="166" formatCode="0.00"/>
    <numFmt numFmtId="167" formatCode="#,##0.0;\(#,##0.0\);\-"/>
    <numFmt numFmtId="168" formatCode="0.0%;\(0.0%\);\-"/>
    <numFmt numFmtId="169" formatCode="0.00\x"/>
    <numFmt numFmtId="170" formatCode="0"/>
    <numFmt numFmtId="171" formatCode="#,##0;\(#,##0\);\-"/>
    <numFmt numFmtId="172" formatCode="0.000"/>
    <numFmt numFmtId="173" formatCode="0;;&quot;&quot;"/>
    <numFmt numFmtId="174" formatCode=";;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40404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i val="true"/>
      <sz val="9"/>
      <color rgb="FF000000"/>
      <name val="Arial"/>
      <family val="0"/>
      <charset val="1"/>
    </font>
    <font>
      <sz val="10"/>
      <color rgb="FF80808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8"/>
      <color rgb="FFC00000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D9E2F3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F2F2F2"/>
      </patternFill>
    </fill>
    <fill>
      <patternFill patternType="solid">
        <fgColor rgb="FF1F3864"/>
        <bgColor rgb="FF404040"/>
      </patternFill>
    </fill>
    <fill>
      <patternFill patternType="solid">
        <fgColor rgb="FF9C2B2B"/>
        <bgColor rgb="FFBE4B48"/>
      </patternFill>
    </fill>
    <fill>
      <patternFill patternType="solid">
        <fgColor rgb="FF2E7D32"/>
        <bgColor rgb="FF008000"/>
      </patternFill>
    </fill>
    <fill>
      <patternFill patternType="solid">
        <fgColor rgb="FF0F6E7A"/>
        <bgColor rgb="FF2E7D32"/>
      </patternFill>
    </fill>
    <fill>
      <patternFill patternType="solid">
        <fgColor rgb="FFF2F2F2"/>
        <bgColor rgb="FFE2EFDA"/>
      </patternFill>
    </fill>
    <fill>
      <patternFill patternType="solid">
        <fgColor rgb="FFFFE699"/>
        <bgColor rgb="FFF8CBAD"/>
      </patternFill>
    </fill>
    <fill>
      <patternFill patternType="solid">
        <fgColor rgb="FFF8CBAD"/>
        <bgColor rgb="FFF4B6B6"/>
      </patternFill>
    </fill>
    <fill>
      <patternFill patternType="solid">
        <fgColor rgb="FFF4B6B6"/>
        <bgColor rgb="FFF8CBAD"/>
      </patternFill>
    </fill>
    <fill>
      <patternFill patternType="solid">
        <fgColor rgb="FFC6E0B4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BFBFBF"/>
      </top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0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3" fontId="8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>
          <bgColor rgb="FFC6E0B4"/>
        </patternFill>
      </fill>
    </dxf>
    <dxf>
      <fill>
        <patternFill>
          <bgColor rgb="FFF4B6B6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color rgb="FFC00000"/>
      </font>
    </dxf>
    <dxf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0F6E7A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F6E7A"/>
      <rgbColor rgb="FFBFBFBF"/>
      <rgbColor rgb="FF808080"/>
      <rgbColor rgb="FF8064A2"/>
      <rgbColor rgb="FFBE4B48"/>
      <rgbColor rgb="FFF2F2F2"/>
      <rgbColor rgb="FFD9E2F3"/>
      <rgbColor rgb="FF660066"/>
      <rgbColor rgb="FFC0504D"/>
      <rgbColor rgb="FF4F81BD"/>
      <rgbColor rgb="FFD9D9D9"/>
      <rgbColor rgb="FF000080"/>
      <rgbColor rgb="FFFF00FF"/>
      <rgbColor rgb="FFFFFF00"/>
      <rgbColor rgb="FF00FFFF"/>
      <rgbColor rgb="FF800080"/>
      <rgbColor rgb="FF800000"/>
      <rgbColor rgb="FF00B050"/>
      <rgbColor rgb="FF0000FF"/>
      <rgbColor rgb="FF00CCFF"/>
      <rgbColor rgb="FFC6E0B4"/>
      <rgbColor rgb="FFE2EFDA"/>
      <rgbColor rgb="FFFFE699"/>
      <rgbColor rgb="FF9BBB59"/>
      <rgbColor rgb="FFF4B6B6"/>
      <rgbColor rgb="FFCC99FF"/>
      <rgbColor rgb="FFF8CBAD"/>
      <rgbColor rgb="FF4A7EBB"/>
      <rgbColor rgb="FF33CCCC"/>
      <rgbColor rgb="FF98B855"/>
      <rgbColor rgb="FFFFCC00"/>
      <rgbColor rgb="FFFF9900"/>
      <rgbColor rgb="FFC55A11"/>
      <rgbColor rgb="FF7D5FA0"/>
      <rgbColor rgb="FF878787"/>
      <rgbColor rgb="FF1F3864"/>
      <rgbColor rgb="FF2E7D32"/>
      <rgbColor rgb="FF003300"/>
      <rgbColor rgb="FF333300"/>
      <rgbColor rgb="FF9C2B2B"/>
      <rgbColor rgb="FF7030A0"/>
      <rgbColor rgb="FF59595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NPV incl. value beyond Year 3, by scenario (RM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Dashboard!B64</c:f>
              <c:strCache>
                <c:ptCount val="1"/>
                <c:pt idx="0">
                  <c:v>Option A: Direct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Dashboard!$A$65:$A$67</c:f>
              <c:strCache>
                <c:ptCount val="3"/>
                <c:pt idx="0">
                  <c:v>Downside</c:v>
                </c:pt>
                <c:pt idx="1">
                  <c:v>Base</c:v>
                </c:pt>
                <c:pt idx="2">
                  <c:v>Upside</c:v>
                </c:pt>
              </c:strCache>
            </c:strRef>
          </c:cat>
          <c:val>
            <c:numRef>
              <c:f>Dashboard!$B$65:$B$67</c:f>
              <c:numCache>
                <c:formatCode>#,##0.00;\(#,##0.00\);\-</c:formatCode>
                <c:ptCount val="3"/>
                <c:pt idx="0">
                  <c:v>-11.6698767997056</c:v>
                </c:pt>
                <c:pt idx="1">
                  <c:v>-2.62390964941347</c:v>
                </c:pt>
                <c:pt idx="2">
                  <c:v>5.19706754024642</c:v>
                </c:pt>
              </c:numCache>
            </c:numRef>
          </c:val>
        </c:ser>
        <c:ser>
          <c:idx val="1"/>
          <c:order val="1"/>
          <c:tx>
            <c:strRef>
              <c:f>Dashboard!C64</c:f>
              <c:strCache>
                <c:ptCount val="1"/>
                <c:pt idx="0">
                  <c:v>Option B: Partner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Dashboard!$A$65:$A$67</c:f>
              <c:strCache>
                <c:ptCount val="3"/>
                <c:pt idx="0">
                  <c:v>Downside</c:v>
                </c:pt>
                <c:pt idx="1">
                  <c:v>Base</c:v>
                </c:pt>
                <c:pt idx="2">
                  <c:v>Upside</c:v>
                </c:pt>
              </c:strCache>
            </c:strRef>
          </c:cat>
          <c:val>
            <c:numRef>
              <c:f>Dashboard!$C$65:$C$67</c:f>
              <c:numCache>
                <c:formatCode>#,##0.00;\(#,##0.00\);\-</c:formatCode>
                <c:ptCount val="3"/>
                <c:pt idx="0">
                  <c:v>-7.83627622430999</c:v>
                </c:pt>
                <c:pt idx="1">
                  <c:v>-0.517989011392097</c:v>
                </c:pt>
                <c:pt idx="2">
                  <c:v>5.88597812329097</c:v>
                </c:pt>
              </c:numCache>
            </c:numRef>
          </c:val>
        </c:ser>
        <c:ser>
          <c:idx val="2"/>
          <c:order val="2"/>
          <c:tx>
            <c:strRef>
              <c:f>Dashboard!D64</c:f>
              <c:strCache>
                <c:ptCount val="1"/>
                <c:pt idx="0">
                  <c:v>Option C: Distributor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Dashboard!$A$65:$A$67</c:f>
              <c:strCache>
                <c:ptCount val="3"/>
                <c:pt idx="0">
                  <c:v>Downside</c:v>
                </c:pt>
                <c:pt idx="1">
                  <c:v>Base</c:v>
                </c:pt>
                <c:pt idx="2">
                  <c:v>Upside</c:v>
                </c:pt>
              </c:strCache>
            </c:strRef>
          </c:cat>
          <c:val>
            <c:numRef>
              <c:f>Dashboard!$D$65:$D$67</c:f>
              <c:numCache>
                <c:formatCode>#,##0.00;\(#,##0.00\);\-</c:formatCode>
                <c:ptCount val="3"/>
                <c:pt idx="0">
                  <c:v>-7.4220918340443</c:v>
                </c:pt>
                <c:pt idx="1">
                  <c:v>-3.87998340339093</c:v>
                </c:pt>
                <c:pt idx="2">
                  <c:v>-0.92116315411834</c:v>
                </c:pt>
              </c:numCache>
            </c:numRef>
          </c:val>
        </c:ser>
        <c:ser>
          <c:idx val="3"/>
          <c:order val="3"/>
          <c:tx>
            <c:strRef>
              <c:f>Dashboard!E64</c:f>
              <c:strCache>
                <c:ptCount val="1"/>
                <c:pt idx="0">
                  <c:v>Option B+: Partner + conditions</c:v>
                </c:pt>
              </c:strCache>
            </c:strRef>
          </c:tx>
          <c:spPr>
            <a:solidFill>
              <a:srgbClr val="8064a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Dashboard!$A$65:$A$67</c:f>
              <c:strCache>
                <c:ptCount val="3"/>
                <c:pt idx="0">
                  <c:v>Downside</c:v>
                </c:pt>
                <c:pt idx="1">
                  <c:v>Base</c:v>
                </c:pt>
                <c:pt idx="2">
                  <c:v>Upside</c:v>
                </c:pt>
              </c:strCache>
            </c:strRef>
          </c:cat>
          <c:val>
            <c:numRef>
              <c:f>Dashboard!$E$65:$E$67</c:f>
              <c:numCache>
                <c:formatCode>#,##0.00;\(#,##0.00\);\-</c:formatCode>
                <c:ptCount val="3"/>
                <c:pt idx="0">
                  <c:v>-3.15336548451317</c:v>
                </c:pt>
                <c:pt idx="1">
                  <c:v>5.70368213735708</c:v>
                </c:pt>
                <c:pt idx="2">
                  <c:v>13.3031928336225</c:v>
                </c:pt>
              </c:numCache>
            </c:numRef>
          </c:val>
        </c:ser>
        <c:gapWidth val="150"/>
        <c:overlap val="0"/>
        <c:axId val="39561455"/>
        <c:axId val="93297335"/>
      </c:barChart>
      <c:catAx>
        <c:axId val="39561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297335"/>
        <c:crosses val="autoZero"/>
        <c:auto val="1"/>
        <c:lblAlgn val="ctr"/>
        <c:lblOffset val="100"/>
        <c:noMultiLvlLbl val="0"/>
      </c:catAx>
      <c:valAx>
        <c:axId val="932973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56145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year (RM m, Base)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Dashboard!B55</c:f>
              <c:strCache>
                <c:ptCount val="1"/>
                <c:pt idx="0">
                  <c:v>Option A: Direct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Dashboard!$A$56:$A$58</c:f>
              <c:strCache>
                <c:ptCount val="3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</c:strCache>
            </c:strRef>
          </c:cat>
          <c:val>
            <c:numRef>
              <c:f>Dashboard!$B$56:$B$58</c:f>
              <c:numCache>
                <c:formatCode>#,##0.00;\(#,##0.00\);\-</c:formatCode>
                <c:ptCount val="3"/>
                <c:pt idx="0">
                  <c:v>1.0443</c:v>
                </c:pt>
                <c:pt idx="1">
                  <c:v>3.140706432</c:v>
                </c:pt>
                <c:pt idx="2">
                  <c:v>6.39678972422137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Dashboard!C55</c:f>
              <c:strCache>
                <c:ptCount val="1"/>
                <c:pt idx="0">
                  <c:v>Option B: Partner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Dashboard!$A$56:$A$58</c:f>
              <c:strCache>
                <c:ptCount val="3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</c:strCache>
            </c:strRef>
          </c:cat>
          <c:val>
            <c:numRef>
              <c:f>Dashboard!$C$56:$C$58</c:f>
              <c:numCache>
                <c:formatCode>#,##0.00;\(#,##0.00\);\-</c:formatCode>
                <c:ptCount val="3"/>
                <c:pt idx="0">
                  <c:v>0.549648</c:v>
                </c:pt>
                <c:pt idx="1">
                  <c:v>1.98417127968</c:v>
                </c:pt>
                <c:pt idx="2">
                  <c:v>4.42769213016862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Dashboard!D55</c:f>
              <c:strCache>
                <c:ptCount val="1"/>
                <c:pt idx="0">
                  <c:v>Option C: Distributor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Dashboard!$A$56:$A$58</c:f>
              <c:strCache>
                <c:ptCount val="3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</c:strCache>
            </c:strRef>
          </c:cat>
          <c:val>
            <c:numRef>
              <c:f>Dashboard!$D$56:$D$58</c:f>
              <c:numCache>
                <c:formatCode>#,##0.00;\(#,##0.00\);\-</c:formatCode>
                <c:ptCount val="3"/>
                <c:pt idx="0">
                  <c:v>0.22376</c:v>
                </c:pt>
                <c:pt idx="1">
                  <c:v>0.9333792992</c:v>
                </c:pt>
                <c:pt idx="2">
                  <c:v>2.31435508810863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Dashboard!E55</c:f>
              <c:strCache>
                <c:ptCount val="1"/>
                <c:pt idx="0">
                  <c:v>Option B+: Partner + conditions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Dashboard!$A$56:$A$58</c:f>
              <c:strCache>
                <c:ptCount val="3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</c:strCache>
            </c:strRef>
          </c:cat>
          <c:val>
            <c:numRef>
              <c:f>Dashboard!$E$56:$E$58</c:f>
              <c:numCache>
                <c:formatCode>#,##0.00;\(#,##0.00\);\-</c:formatCode>
                <c:ptCount val="3"/>
                <c:pt idx="0">
                  <c:v>0.66824448</c:v>
                </c:pt>
                <c:pt idx="1">
                  <c:v>2.4453538123968</c:v>
                </c:pt>
                <c:pt idx="2">
                  <c:v>5.49380008401247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1487022"/>
        <c:axId val="60962816"/>
      </c:lineChart>
      <c:catAx>
        <c:axId val="814870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962816"/>
        <c:crosses val="autoZero"/>
        <c:auto val="1"/>
        <c:lblAlgn val="ctr"/>
        <c:lblOffset val="100"/>
        <c:noMultiLvlLbl val="0"/>
      </c:catAx>
      <c:valAx>
        <c:axId val="609628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48702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Cumulative free cash flow (RM m, Base)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Dashboard!B59</c:f>
              <c:strCache>
                <c:ptCount val="1"/>
                <c:pt idx="0">
                  <c:v>Option A: Direct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Dashboard!$A$60:$A$63</c:f>
              <c:strCache>
                <c:ptCount val="4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</c:strCache>
            </c:strRef>
          </c:cat>
          <c:val>
            <c:numRef>
              <c:f>Dashboard!$B$60:$B$63</c:f>
              <c:numCache>
                <c:formatCode>#,##0.00;\(#,##0.00\);\-</c:formatCode>
                <c:ptCount val="4"/>
                <c:pt idx="0">
                  <c:v>-1.69</c:v>
                </c:pt>
                <c:pt idx="1">
                  <c:v>-6.09519712842466</c:v>
                </c:pt>
                <c:pt idx="2">
                  <c:v>-10.3141254791265</c:v>
                </c:pt>
                <c:pt idx="3">
                  <c:v>-13.5366390825623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Dashboard!C59</c:f>
              <c:strCache>
                <c:ptCount val="1"/>
                <c:pt idx="0">
                  <c:v>Option B: Partner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Dashboard!$A$60:$A$63</c:f>
              <c:strCache>
                <c:ptCount val="4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</c:strCache>
            </c:strRef>
          </c:cat>
          <c:val>
            <c:numRef>
              <c:f>Dashboard!$C$60:$C$63</c:f>
              <c:numCache>
                <c:formatCode>#,##0.00;\(#,##0.00\);\-</c:formatCode>
                <c:ptCount val="4"/>
                <c:pt idx="0">
                  <c:v>-1.59</c:v>
                </c:pt>
                <c:pt idx="1">
                  <c:v>-5.14941144736986</c:v>
                </c:pt>
                <c:pt idx="2">
                  <c:v>-8.278407471623</c:v>
                </c:pt>
                <c:pt idx="3">
                  <c:v>-10.1824069489916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Dashboard!D59</c:f>
              <c:strCache>
                <c:ptCount val="1"/>
                <c:pt idx="0">
                  <c:v>Option C: Distributor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Dashboard!$A$60:$A$63</c:f>
              <c:strCache>
                <c:ptCount val="4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</c:strCache>
            </c:strRef>
          </c:cat>
          <c:val>
            <c:numRef>
              <c:f>Dashboard!$D$60:$D$63</c:f>
              <c:numCache>
                <c:formatCode>#,##0.00;\(#,##0.00\);\-</c:formatCode>
                <c:ptCount val="4"/>
                <c:pt idx="0">
                  <c:v>-1.3</c:v>
                </c:pt>
                <c:pt idx="1">
                  <c:v>-4.23078899636986</c:v>
                </c:pt>
                <c:pt idx="2">
                  <c:v>-6.73134573258388</c:v>
                </c:pt>
                <c:pt idx="3">
                  <c:v>-7.92570064255394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Dashboard!E59</c:f>
              <c:strCache>
                <c:ptCount val="1"/>
                <c:pt idx="0">
                  <c:v>Option B+: Partner + conditions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Dashboard!$A$60:$A$63</c:f>
              <c:strCache>
                <c:ptCount val="4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</c:strCache>
            </c:strRef>
          </c:cat>
          <c:val>
            <c:numRef>
              <c:f>Dashboard!$E$60:$E$63</c:f>
              <c:numCache>
                <c:formatCode>#,##0.00;\(#,##0.00\);\-</c:formatCode>
                <c:ptCount val="4"/>
                <c:pt idx="0">
                  <c:v>-1.59</c:v>
                </c:pt>
                <c:pt idx="1">
                  <c:v>-4.35206402543945</c:v>
                </c:pt>
                <c:pt idx="2">
                  <c:v>-6.44856262721129</c:v>
                </c:pt>
                <c:pt idx="3">
                  <c:v>-6.8426139137967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6417844"/>
        <c:axId val="50394357"/>
      </c:lineChart>
      <c:catAx>
        <c:axId val="464178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394357"/>
        <c:crosses val="autoZero"/>
        <c:auto val="1"/>
        <c:lblAlgn val="ctr"/>
        <c:lblOffset val="100"/>
        <c:noMultiLvlLbl val="0"/>
      </c:catAx>
      <c:valAx>
        <c:axId val="503943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41784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160920</xdr:rowOff>
    </xdr:from>
    <xdr:to>
      <xdr:col>16</xdr:col>
      <xdr:colOff>364680</xdr:colOff>
      <xdr:row>17</xdr:row>
      <xdr:rowOff>12600</xdr:rowOff>
    </xdr:to>
    <xdr:graphicFrame>
      <xdr:nvGraphicFramePr>
        <xdr:cNvPr id="0" name="Chart 1"/>
        <xdr:cNvGraphicFramePr/>
      </xdr:nvGraphicFramePr>
      <xdr:xfrm>
        <a:off x="10220400" y="571680"/>
        <a:ext cx="64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20</xdr:row>
      <xdr:rowOff>48240</xdr:rowOff>
    </xdr:from>
    <xdr:to>
      <xdr:col>16</xdr:col>
      <xdr:colOff>364680</xdr:colOff>
      <xdr:row>36</xdr:row>
      <xdr:rowOff>59760</xdr:rowOff>
    </xdr:to>
    <xdr:graphicFrame>
      <xdr:nvGraphicFramePr>
        <xdr:cNvPr id="1" name="Chart 2"/>
        <xdr:cNvGraphicFramePr/>
      </xdr:nvGraphicFramePr>
      <xdr:xfrm>
        <a:off x="10220400" y="4448160"/>
        <a:ext cx="64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0</xdr:colOff>
      <xdr:row>38</xdr:row>
      <xdr:rowOff>257760</xdr:rowOff>
    </xdr:from>
    <xdr:to>
      <xdr:col>16</xdr:col>
      <xdr:colOff>364680</xdr:colOff>
      <xdr:row>54</xdr:row>
      <xdr:rowOff>59760</xdr:rowOff>
    </xdr:to>
    <xdr:graphicFrame>
      <xdr:nvGraphicFramePr>
        <xdr:cNvPr id="2" name="Chart 3"/>
        <xdr:cNvGraphicFramePr/>
      </xdr:nvGraphicFramePr>
      <xdr:xfrm>
        <a:off x="10220400" y="8086680"/>
        <a:ext cx="64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2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11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A6" s="4" t="s">
        <v>3</v>
      </c>
      <c r="B6" s="5"/>
      <c r="C6" s="5"/>
    </row>
    <row r="7" customFormat="false" ht="43.5" hidden="false" customHeight="true" outlineLevel="0" collapsed="false">
      <c r="B7" s="6" t="s">
        <v>4</v>
      </c>
      <c r="C7" s="6"/>
    </row>
    <row r="9" customFormat="false" ht="15" hidden="false" customHeight="false" outlineLevel="0" collapsed="false">
      <c r="A9" s="4" t="s">
        <v>5</v>
      </c>
      <c r="B9" s="5"/>
      <c r="C9" s="5"/>
    </row>
    <row r="10" customFormat="false" ht="15" hidden="false" customHeight="false" outlineLevel="0" collapsed="false">
      <c r="B10" s="7" t="s">
        <v>6</v>
      </c>
      <c r="C10" s="8" t="s">
        <v>7</v>
      </c>
    </row>
    <row r="11" customFormat="false" ht="15" hidden="false" customHeight="false" outlineLevel="0" collapsed="false">
      <c r="B11" s="7" t="s">
        <v>8</v>
      </c>
      <c r="C11" s="8" t="s">
        <v>9</v>
      </c>
    </row>
    <row r="12" customFormat="false" ht="15" hidden="false" customHeight="false" outlineLevel="0" collapsed="false">
      <c r="B12" s="7" t="s">
        <v>10</v>
      </c>
      <c r="C12" s="8" t="s">
        <v>11</v>
      </c>
    </row>
    <row r="13" customFormat="false" ht="15" hidden="false" customHeight="false" outlineLevel="0" collapsed="false">
      <c r="B13" s="7" t="s">
        <v>12</v>
      </c>
      <c r="C13" s="8" t="s">
        <v>13</v>
      </c>
    </row>
    <row r="14" customFormat="false" ht="15" hidden="false" customHeight="false" outlineLevel="0" collapsed="false">
      <c r="B14" s="7" t="s">
        <v>14</v>
      </c>
      <c r="C14" s="8" t="s">
        <v>15</v>
      </c>
    </row>
    <row r="15" customFormat="false" ht="23.85" hidden="false" customHeight="false" outlineLevel="0" collapsed="false">
      <c r="B15" s="7" t="s">
        <v>16</v>
      </c>
      <c r="C15" s="8" t="s">
        <v>17</v>
      </c>
    </row>
    <row r="16" customFormat="false" ht="15" hidden="false" customHeight="false" outlineLevel="0" collapsed="false">
      <c r="B16" s="7" t="s">
        <v>18</v>
      </c>
      <c r="C16" s="8" t="s">
        <v>19</v>
      </c>
    </row>
    <row r="17" customFormat="false" ht="15" hidden="false" customHeight="false" outlineLevel="0" collapsed="false">
      <c r="B17" s="7" t="s">
        <v>20</v>
      </c>
      <c r="C17" s="8" t="s">
        <v>21</v>
      </c>
    </row>
    <row r="18" customFormat="false" ht="15" hidden="false" customHeight="false" outlineLevel="0" collapsed="false">
      <c r="B18" s="7" t="s">
        <v>22</v>
      </c>
      <c r="C18" s="8" t="s">
        <v>23</v>
      </c>
    </row>
    <row r="19" customFormat="false" ht="15" hidden="false" customHeight="false" outlineLevel="0" collapsed="false">
      <c r="B19" s="7" t="s">
        <v>24</v>
      </c>
      <c r="C19" s="8" t="s">
        <v>25</v>
      </c>
    </row>
    <row r="20" customFormat="false" ht="15" hidden="false" customHeight="false" outlineLevel="0" collapsed="false">
      <c r="B20" s="7" t="s">
        <v>26</v>
      </c>
      <c r="C20" s="8" t="s">
        <v>27</v>
      </c>
    </row>
    <row r="21" customFormat="false" ht="15" hidden="false" customHeight="false" outlineLevel="0" collapsed="false">
      <c r="B21" s="7" t="s">
        <v>28</v>
      </c>
      <c r="C21" s="8" t="s">
        <v>29</v>
      </c>
    </row>
    <row r="23" customFormat="false" ht="15" hidden="false" customHeight="false" outlineLevel="0" collapsed="false">
      <c r="A23" s="4" t="s">
        <v>30</v>
      </c>
      <c r="B23" s="5"/>
      <c r="C23" s="5"/>
    </row>
    <row r="24" customFormat="false" ht="15" hidden="false" customHeight="false" outlineLevel="0" collapsed="false">
      <c r="B24" s="9" t="s">
        <v>31</v>
      </c>
      <c r="C24" s="10" t="s">
        <v>32</v>
      </c>
    </row>
    <row r="25" customFormat="false" ht="15" hidden="false" customHeight="false" outlineLevel="0" collapsed="false">
      <c r="B25" s="7" t="s">
        <v>33</v>
      </c>
      <c r="C25" s="10" t="s">
        <v>34</v>
      </c>
    </row>
    <row r="26" customFormat="false" ht="15" hidden="false" customHeight="false" outlineLevel="0" collapsed="false">
      <c r="B26" s="11" t="s">
        <v>35</v>
      </c>
      <c r="C26" s="10" t="s">
        <v>36</v>
      </c>
    </row>
    <row r="27" customFormat="false" ht="15" hidden="false" customHeight="false" outlineLevel="0" collapsed="false">
      <c r="B27" s="12" t="s">
        <v>37</v>
      </c>
      <c r="C27" s="10" t="s">
        <v>38</v>
      </c>
    </row>
    <row r="29" customFormat="false" ht="15" hidden="false" customHeight="false" outlineLevel="0" collapsed="false">
      <c r="A29" s="4" t="s">
        <v>39</v>
      </c>
      <c r="B29" s="5"/>
      <c r="C29" s="5"/>
    </row>
    <row r="30" customFormat="false" ht="31.5" hidden="false" customHeight="true" outlineLevel="0" collapsed="false">
      <c r="B30" s="6" t="s">
        <v>40</v>
      </c>
      <c r="C30" s="6"/>
    </row>
    <row r="31" customFormat="false" ht="31.5" hidden="false" customHeight="true" outlineLevel="0" collapsed="false">
      <c r="B31" s="6" t="s">
        <v>41</v>
      </c>
      <c r="C31" s="6"/>
    </row>
    <row r="32" customFormat="false" ht="31.5" hidden="false" customHeight="true" outlineLevel="0" collapsed="false">
      <c r="B32" s="6" t="s">
        <v>42</v>
      </c>
      <c r="C32" s="6"/>
    </row>
    <row r="33" customFormat="false" ht="31.5" hidden="false" customHeight="true" outlineLevel="0" collapsed="false">
      <c r="B33" s="6" t="s">
        <v>43</v>
      </c>
      <c r="C33" s="6"/>
    </row>
  </sheetData>
  <mergeCells count="5">
    <mergeCell ref="B7:C7"/>
    <mergeCell ref="B30:C30"/>
    <mergeCell ref="B31:C31"/>
    <mergeCell ref="B32:C32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E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21"/>
    <col collapsed="false" customWidth="true" hidden="false" outlineLevel="0" max="6" min="6" style="0" width="3"/>
  </cols>
  <sheetData>
    <row r="1" customFormat="false" ht="17.35" hidden="false" customHeight="false" outlineLevel="0" collapsed="false">
      <c r="A1" s="13" t="s">
        <v>44</v>
      </c>
    </row>
    <row r="2" customFormat="false" ht="15" hidden="false" customHeight="false" outlineLevel="0" collapsed="false">
      <c r="A2" s="14" t="s">
        <v>45</v>
      </c>
    </row>
    <row r="4" customFormat="false" ht="15" hidden="false" customHeight="false" outlineLevel="0" collapsed="false">
      <c r="A4" s="4" t="s">
        <v>46</v>
      </c>
      <c r="B4" s="5"/>
      <c r="C4" s="5"/>
      <c r="D4" s="5"/>
      <c r="E4" s="5"/>
    </row>
    <row r="5" customFormat="false" ht="15" hidden="false" customHeight="false" outlineLevel="0" collapsed="false">
      <c r="A5" s="7" t="s">
        <v>47</v>
      </c>
      <c r="B5" s="15" t="str">
        <f aca="false">Strategy_Compare!$B$72</f>
        <v>Option B: Local partnership</v>
      </c>
      <c r="C5" s="15"/>
      <c r="D5" s="15"/>
      <c r="E5" s="15"/>
    </row>
    <row r="6" customFormat="false" ht="23.85" hidden="false" customHeight="false" outlineLevel="0" collapsed="false">
      <c r="A6" s="16" t="s">
        <v>48</v>
      </c>
      <c r="B6" s="17" t="s">
        <v>49</v>
      </c>
      <c r="C6" s="17" t="s">
        <v>50</v>
      </c>
    </row>
    <row r="7" customFormat="false" ht="15" hidden="false" customHeight="false" outlineLevel="0" collapsed="false">
      <c r="A7" s="10" t="s">
        <v>51</v>
      </c>
      <c r="B7" s="18" t="n">
        <f aca="false">INDEX(Strategy_Compare!$B$39:$D$39,Strategy_Compare!$B$73)</f>
        <v>-0.517989011392097</v>
      </c>
      <c r="C7" s="19" t="n">
        <f aca="false">Strategy_Compare!$E$39</f>
        <v>5.70368213735708</v>
      </c>
    </row>
    <row r="8" customFormat="false" ht="15" hidden="false" customHeight="false" outlineLevel="0" collapsed="false">
      <c r="A8" s="10" t="s">
        <v>52</v>
      </c>
      <c r="B8" s="18" t="n">
        <f aca="false">INDEX(Strategy_Compare!$B$45:$D$45,Strategy_Compare!$B$73)</f>
        <v>-1.06676738768496</v>
      </c>
      <c r="C8" s="19" t="n">
        <f aca="false">Strategy_Compare!$E$45</f>
        <v>5.00932237114259</v>
      </c>
    </row>
    <row r="9" customFormat="false" ht="15" hidden="false" customHeight="false" outlineLevel="0" collapsed="false">
      <c r="A9" s="10" t="s">
        <v>53</v>
      </c>
      <c r="B9" s="18" t="n">
        <f aca="false">INDEX(Strategy_Compare!$B$48:$D$48,Strategy_Compare!$B$73)</f>
        <v>-0.60919387528039</v>
      </c>
      <c r="C9" s="19" t="n">
        <f aca="false">Strategy_Compare!$E$48</f>
        <v>5.00932237114259</v>
      </c>
    </row>
    <row r="10" customFormat="false" ht="15" hidden="false" customHeight="false" outlineLevel="0" collapsed="false">
      <c r="A10" s="10" t="s">
        <v>54</v>
      </c>
      <c r="B10" s="18" t="n">
        <f aca="false">INDEX(Strategy_Compare!$B$26:$D$26,Strategy_Compare!$B$73)</f>
        <v>11.3082968501682</v>
      </c>
      <c r="C10" s="19" t="n">
        <f aca="false">Strategy_Compare!$E$26</f>
        <v>6.8426139137967</v>
      </c>
    </row>
    <row r="11" customFormat="false" ht="15" hidden="false" customHeight="false" outlineLevel="0" collapsed="false">
      <c r="A11" s="10" t="s">
        <v>55</v>
      </c>
      <c r="B11" s="20" t="n">
        <f aca="false">INDEX(Strategy_Compare!$B$54:$D$54,Strategy_Compare!$B$73)</f>
        <v>-2.50690336105965</v>
      </c>
      <c r="C11" s="21" t="n">
        <f aca="false">Strategy_Compare!$E$54</f>
        <v>11.7719075721851</v>
      </c>
    </row>
    <row r="12" customFormat="false" ht="15" hidden="false" customHeight="false" outlineLevel="0" collapsed="false">
      <c r="A12" s="10" t="s">
        <v>56</v>
      </c>
      <c r="B12" s="22" t="s">
        <v>57</v>
      </c>
      <c r="C12" s="19" t="n">
        <f aca="false">Strategy_Compare!$E$49</f>
        <v>2.2000642479311</v>
      </c>
    </row>
    <row r="13" customFormat="false" ht="15" hidden="false" customHeight="false" outlineLevel="0" collapsed="false">
      <c r="A13" s="10" t="s">
        <v>58</v>
      </c>
      <c r="B13" s="23" t="n">
        <f aca="false">Assumptions!$C$36/1000000</f>
        <v>12</v>
      </c>
    </row>
    <row r="14" customFormat="false" ht="15" hidden="false" customHeight="false" outlineLevel="0" collapsed="false">
      <c r="A14" s="7" t="s">
        <v>59</v>
      </c>
      <c r="B14" s="24" t="str">
        <f aca="false">IF(AND(B8&gt;0,B10&lt;=$B$13),"GO",IF(AND(B9&gt;0,B7&gt;0,B10&lt;=$B$13),"CONDITIONAL GO","NO-GO"))</f>
        <v>NO-GO</v>
      </c>
      <c r="C14" s="24" t="str">
        <f aca="false">IF(AND(C12&gt;0,C10&lt;=$B$13),"CONDITIONAL GO","NO-GO")</f>
        <v>CONDITIONAL GO</v>
      </c>
    </row>
    <row r="15" customFormat="false" ht="33.75" hidden="false" customHeight="true" outlineLevel="0" collapsed="false">
      <c r="A15" s="7" t="s">
        <v>60</v>
      </c>
      <c r="B15" s="25" t="str">
        <f aca="false">IF(B14="GO","GO: approve staged entry via "&amp;B5,IF(B14="CONDITIONAL GO","CONDITIONAL GO: approve staged entry via "&amp;B5&amp;", de-risk first",IF(C14="CONDITIONAL GO","CONDITIONAL GO: plan as drawn fails the hurdle; approve ONLY with Option B+ conditions precedent secured at Gates 1-2","NO-GO as modelled")))</f>
        <v>CONDITIONAL GO: plan as drawn fails the hurdle; approve ONLY with Option B+ conditions precedent secured at Gates 1-2</v>
      </c>
      <c r="C15" s="25"/>
      <c r="D15" s="25"/>
      <c r="E15" s="25"/>
    </row>
    <row r="16" customFormat="false" ht="15" hidden="false" customHeight="false" outlineLevel="0" collapsed="false">
      <c r="A16" s="14" t="s">
        <v>61</v>
      </c>
    </row>
    <row r="18" customFormat="false" ht="15" hidden="false" customHeight="false" outlineLevel="0" collapsed="false">
      <c r="A18" s="4" t="s">
        <v>62</v>
      </c>
      <c r="B18" s="5"/>
      <c r="C18" s="5"/>
      <c r="D18" s="5"/>
      <c r="E18" s="5"/>
    </row>
    <row r="19" customFormat="false" ht="31.5" hidden="false" customHeight="true" outlineLevel="0" collapsed="false">
      <c r="A19" s="16" t="s">
        <v>63</v>
      </c>
      <c r="B19" s="17" t="s">
        <v>64</v>
      </c>
      <c r="C19" s="17" t="s">
        <v>65</v>
      </c>
      <c r="D19" s="17" t="s">
        <v>66</v>
      </c>
      <c r="E19" s="17" t="s">
        <v>67</v>
      </c>
    </row>
    <row r="20" customFormat="false" ht="15" hidden="false" customHeight="false" outlineLevel="0" collapsed="false">
      <c r="A20" s="10" t="s">
        <v>68</v>
      </c>
      <c r="B20" s="26" t="n">
        <f aca="false">Strategy_Compare!$B$18</f>
        <v>10.5817961562214</v>
      </c>
      <c r="C20" s="26" t="n">
        <f aca="false">Strategy_Compare!$C$18</f>
        <v>6.96151140984862</v>
      </c>
      <c r="D20" s="26" t="n">
        <f aca="false">Strategy_Compare!$D$18</f>
        <v>3.47149438730863</v>
      </c>
      <c r="E20" s="26" t="n">
        <f aca="false">Strategy_Compare!$E$18</f>
        <v>8.60739837640927</v>
      </c>
    </row>
    <row r="21" customFormat="false" ht="15" hidden="false" customHeight="false" outlineLevel="0" collapsed="false">
      <c r="A21" s="10" t="s">
        <v>69</v>
      </c>
      <c r="B21" s="26" t="n">
        <f aca="false">Strategy_Compare!$B$19</f>
        <v>6.39678972422137</v>
      </c>
      <c r="C21" s="26" t="n">
        <f aca="false">Strategy_Compare!$C$19</f>
        <v>4.42769213016862</v>
      </c>
      <c r="D21" s="26" t="n">
        <f aca="false">Strategy_Compare!$D$19</f>
        <v>2.31435508810863</v>
      </c>
      <c r="E21" s="26" t="n">
        <f aca="false">Strategy_Compare!$E$19</f>
        <v>5.49380008401247</v>
      </c>
    </row>
    <row r="22" customFormat="false" ht="15" hidden="false" customHeight="false" outlineLevel="0" collapsed="false">
      <c r="A22" s="10" t="s">
        <v>70</v>
      </c>
      <c r="B22" s="26" t="n">
        <f aca="false">Strategy_Compare!$B$20</f>
        <v>6.24422720963115</v>
      </c>
      <c r="C22" s="26" t="n">
        <f aca="false">Strategy_Compare!$C$20</f>
        <v>4.96396321628598</v>
      </c>
      <c r="D22" s="26" t="n">
        <f aca="false">Strategy_Compare!$D$20</f>
        <v>2.87852083606591</v>
      </c>
      <c r="E22" s="26" t="n">
        <f aca="false">Strategy_Compare!$E$20</f>
        <v>6.25459365252034</v>
      </c>
    </row>
    <row r="23" customFormat="false" ht="15" hidden="false" customHeight="false" outlineLevel="0" collapsed="false">
      <c r="A23" s="10" t="s">
        <v>71</v>
      </c>
      <c r="B23" s="27" t="n">
        <f aca="false">Strategy_Compare!$B$21</f>
        <v>201.6639</v>
      </c>
      <c r="C23" s="27" t="n">
        <f aca="false">Strategy_Compare!$C$21</f>
        <v>290.84064</v>
      </c>
      <c r="D23" s="27" t="n">
        <f aca="false">Strategy_Compare!$D$21</f>
        <v>352.76704</v>
      </c>
      <c r="E23" s="27" t="n">
        <f aca="false">Strategy_Compare!$E$21</f>
        <v>349.008768</v>
      </c>
    </row>
    <row r="24" customFormat="false" ht="15" hidden="false" customHeight="false" outlineLevel="0" collapsed="false">
      <c r="A24" s="10" t="s">
        <v>72</v>
      </c>
      <c r="B24" s="26" t="n">
        <f aca="false">Strategy_Compare!$B$22</f>
        <v>-3.38617276709039</v>
      </c>
      <c r="C24" s="26" t="n">
        <f aca="false">Strategy_Compare!$C$22</f>
        <v>-2.07653119418919</v>
      </c>
      <c r="D24" s="26" t="n">
        <f aca="false">Strategy_Compare!$D$22</f>
        <v>-1.31408140378777</v>
      </c>
      <c r="E24" s="26" t="n">
        <f aca="false">Strategy_Compare!$E$22</f>
        <v>-0.612319868957486</v>
      </c>
    </row>
    <row r="25" customFormat="false" ht="15" hidden="false" customHeight="false" outlineLevel="0" collapsed="false">
      <c r="A25" s="10" t="s">
        <v>73</v>
      </c>
      <c r="B25" s="28" t="n">
        <f aca="false">Strategy_Compare!$B$23</f>
        <v>-0.529355022296369</v>
      </c>
      <c r="C25" s="28" t="n">
        <f aca="false">Strategy_Compare!$C$23</f>
        <v>-0.468987258630855</v>
      </c>
      <c r="D25" s="28" t="n">
        <f aca="false">Strategy_Compare!$D$23</f>
        <v>-0.567795931808235</v>
      </c>
      <c r="E25" s="28" t="n">
        <f aca="false">Strategy_Compare!$E$23</f>
        <v>-0.111456525463932</v>
      </c>
    </row>
    <row r="26" customFormat="false" ht="15" hidden="false" customHeight="false" outlineLevel="0" collapsed="false">
      <c r="A26" s="10" t="s">
        <v>74</v>
      </c>
      <c r="B26" s="29" t="str">
        <f aca="false">Strategy_Compare!$B$24</f>
        <v>After Year 3</v>
      </c>
      <c r="C26" s="29" t="str">
        <f aca="false">Strategy_Compare!$C$24</f>
        <v>After Year 3</v>
      </c>
      <c r="D26" s="29" t="str">
        <f aca="false">Strategy_Compare!$D$24</f>
        <v>After Year 3</v>
      </c>
      <c r="E26" s="29" t="str">
        <f aca="false">Strategy_Compare!$E$24</f>
        <v>After Year 3</v>
      </c>
    </row>
    <row r="27" customFormat="false" ht="15" hidden="false" customHeight="false" outlineLevel="0" collapsed="false">
      <c r="A27" s="10" t="s">
        <v>75</v>
      </c>
      <c r="B27" s="26" t="n">
        <f aca="false">Strategy_Compare!$B$25</f>
        <v>13.5366390825623</v>
      </c>
      <c r="C27" s="26" t="n">
        <f aca="false">Strategy_Compare!$C$25</f>
        <v>10.1824069489916</v>
      </c>
      <c r="D27" s="26" t="n">
        <f aca="false">Strategy_Compare!$D$25</f>
        <v>7.92570064255394</v>
      </c>
      <c r="E27" s="26" t="n">
        <f aca="false">Strategy_Compare!$E$25</f>
        <v>6.8426139137967</v>
      </c>
    </row>
    <row r="28" customFormat="false" ht="15" hidden="false" customHeight="false" outlineLevel="0" collapsed="false">
      <c r="A28" s="10" t="s">
        <v>76</v>
      </c>
      <c r="B28" s="26" t="n">
        <f aca="false">Strategy_Compare!$B$26</f>
        <v>15.8063371082181</v>
      </c>
      <c r="C28" s="26" t="n">
        <f aca="false">Strategy_Compare!$C$26</f>
        <v>11.3082968501682</v>
      </c>
      <c r="D28" s="26" t="n">
        <f aca="false">Strategy_Compare!$D$26</f>
        <v>8.89518947629264</v>
      </c>
      <c r="E28" s="26" t="n">
        <f aca="false">Strategy_Compare!$E$26</f>
        <v>6.8426139137967</v>
      </c>
    </row>
    <row r="29" customFormat="false" ht="15" hidden="false" customHeight="false" outlineLevel="0" collapsed="false">
      <c r="A29" s="10" t="s">
        <v>77</v>
      </c>
      <c r="B29" s="26" t="n">
        <f aca="false">Strategy_Compare!$B$27</f>
        <v>6.09519712842466</v>
      </c>
      <c r="C29" s="26" t="n">
        <f aca="false">Strategy_Compare!$C$27</f>
        <v>5.14941144736986</v>
      </c>
      <c r="D29" s="26" t="n">
        <f aca="false">Strategy_Compare!$D$27</f>
        <v>4.23078899636986</v>
      </c>
      <c r="E29" s="26" t="n">
        <f aca="false">Strategy_Compare!$E$27</f>
        <v>4.35206402543945</v>
      </c>
    </row>
    <row r="30" customFormat="false" ht="15" hidden="false" customHeight="false" outlineLevel="0" collapsed="false">
      <c r="A30" s="10" t="s">
        <v>78</v>
      </c>
      <c r="B30" s="26" t="n">
        <f aca="false">Strategy_Compare!$B$28</f>
        <v>-11.2802371040493</v>
      </c>
      <c r="C30" s="26" t="n">
        <f aca="false">Strategy_Compare!$C$28</f>
        <v>-8.61769162840575</v>
      </c>
      <c r="D30" s="26" t="n">
        <f aca="false">Strategy_Compare!$D$28</f>
        <v>-6.76032264399038</v>
      </c>
      <c r="E30" s="26" t="n">
        <f aca="false">Strategy_Compare!$E$28</f>
        <v>-6.00792236618611</v>
      </c>
    </row>
    <row r="31" customFormat="false" ht="15" hidden="false" customHeight="false" outlineLevel="0" collapsed="false">
      <c r="A31" s="10" t="s">
        <v>79</v>
      </c>
      <c r="B31" s="26" t="n">
        <f aca="false">Strategy_Compare!$B$29</f>
        <v>8.65632745463581</v>
      </c>
      <c r="C31" s="26" t="n">
        <f aca="false">Strategy_Compare!$C$29</f>
        <v>8.09970261701366</v>
      </c>
      <c r="D31" s="26" t="n">
        <f aca="false">Strategy_Compare!$D$29</f>
        <v>2.88033924059945</v>
      </c>
      <c r="E31" s="26" t="n">
        <f aca="false">Strategy_Compare!$E$29</f>
        <v>11.7116045035432</v>
      </c>
    </row>
    <row r="32" customFormat="false" ht="15" hidden="false" customHeight="false" outlineLevel="0" collapsed="false">
      <c r="A32" s="10" t="s">
        <v>80</v>
      </c>
      <c r="B32" s="26" t="n">
        <f aca="false">Strategy_Compare!$B$30</f>
        <v>-2.62390964941347</v>
      </c>
      <c r="C32" s="26" t="n">
        <f aca="false">Strategy_Compare!$C$30</f>
        <v>-0.517989011392097</v>
      </c>
      <c r="D32" s="26" t="n">
        <f aca="false">Strategy_Compare!$D$30</f>
        <v>-3.87998340339093</v>
      </c>
      <c r="E32" s="26" t="n">
        <f aca="false">Strategy_Compare!$E$30</f>
        <v>5.70368213735708</v>
      </c>
    </row>
    <row r="33" customFormat="false" ht="15" hidden="false" customHeight="false" outlineLevel="0" collapsed="false">
      <c r="A33" s="10" t="s">
        <v>81</v>
      </c>
      <c r="B33" s="26" t="n">
        <f aca="false">Strategy_Compare!$B$31</f>
        <v>-4.60023383368768</v>
      </c>
      <c r="C33" s="26" t="n">
        <f aca="false">Strategy_Compare!$C$31</f>
        <v>-2.86476760391907</v>
      </c>
      <c r="D33" s="26" t="n">
        <f aca="false">Strategy_Compare!$D$31</f>
        <v>-4.4507659983258</v>
      </c>
      <c r="E33" s="26" t="n">
        <f aca="false">Strategy_Compare!$E$31</f>
        <v>1.24076190466711</v>
      </c>
    </row>
    <row r="34" customFormat="false" ht="15" hidden="false" customHeight="false" outlineLevel="0" collapsed="false">
      <c r="A34" s="10" t="s">
        <v>82</v>
      </c>
      <c r="B34" s="28" t="n">
        <f aca="false">Strategy_Compare!$B$32</f>
        <v>0.0588577787559834</v>
      </c>
      <c r="C34" s="28" t="n">
        <f aca="false">Strategy_Compare!$C$32</f>
        <v>0.105425947921034</v>
      </c>
      <c r="D34" s="28" t="n">
        <f aca="false">Strategy_Compare!$D$32</f>
        <v>-0.059142007073833</v>
      </c>
      <c r="E34" s="28" t="n">
        <f aca="false">Strategy_Compare!$E$32</f>
        <v>0.284799063510689</v>
      </c>
    </row>
    <row r="35" customFormat="false" ht="15" hidden="false" customHeight="false" outlineLevel="0" collapsed="false">
      <c r="A35" s="10" t="s">
        <v>83</v>
      </c>
      <c r="B35" s="30" t="n">
        <f aca="false">Strategy_Compare!$B$33</f>
        <v>-0.166003649767107</v>
      </c>
      <c r="C35" s="30" t="n">
        <f aca="false">Strategy_Compare!$C$33</f>
        <v>-0.0458061030989288</v>
      </c>
      <c r="D35" s="30" t="n">
        <f aca="false">Strategy_Compare!$D$33</f>
        <v>-0.436188955134887</v>
      </c>
      <c r="E35" s="30" t="n">
        <f aca="false">Strategy_Compare!$E$33</f>
        <v>0.833553114235599</v>
      </c>
    </row>
    <row r="36" customFormat="false" ht="15" hidden="false" customHeight="false" outlineLevel="0" collapsed="false">
      <c r="A36" s="10" t="s">
        <v>84</v>
      </c>
      <c r="B36" s="31" t="n">
        <f aca="false">Strategy_Compare!$B$34</f>
        <v>-6.16618767612165</v>
      </c>
      <c r="C36" s="31" t="n">
        <f aca="false">Strategy_Compare!$C$34</f>
        <v>-1.21727417677143</v>
      </c>
      <c r="D36" s="31" t="n">
        <f aca="false">Strategy_Compare!$D$34</f>
        <v>-9.11796099796868</v>
      </c>
      <c r="E36" s="31" t="n">
        <f aca="false">Strategy_Compare!$E$34</f>
        <v>13.4036530227891</v>
      </c>
    </row>
    <row r="38" customFormat="false" ht="15" hidden="false" customHeight="false" outlineLevel="0" collapsed="false">
      <c r="A38" s="4" t="s">
        <v>85</v>
      </c>
      <c r="B38" s="5"/>
      <c r="C38" s="5"/>
      <c r="D38" s="5"/>
      <c r="E38" s="5"/>
    </row>
    <row r="39" customFormat="false" ht="31.5" hidden="false" customHeight="true" outlineLevel="0" collapsed="false">
      <c r="A39" s="16" t="s">
        <v>63</v>
      </c>
      <c r="B39" s="17" t="s">
        <v>64</v>
      </c>
      <c r="C39" s="17" t="s">
        <v>65</v>
      </c>
      <c r="D39" s="17" t="s">
        <v>66</v>
      </c>
      <c r="E39" s="17" t="s">
        <v>67</v>
      </c>
    </row>
    <row r="40" customFormat="false" ht="15" hidden="false" customHeight="false" outlineLevel="0" collapsed="false">
      <c r="A40" s="10" t="s">
        <v>86</v>
      </c>
      <c r="B40" s="26" t="n">
        <f aca="false">Strategy_Compare!$B$38</f>
        <v>-11.6698767997056</v>
      </c>
      <c r="C40" s="26" t="n">
        <f aca="false">Strategy_Compare!$C$38</f>
        <v>-7.83627622430999</v>
      </c>
      <c r="D40" s="26" t="n">
        <f aca="false">Strategy_Compare!$D$38</f>
        <v>-7.4220918340443</v>
      </c>
      <c r="E40" s="26" t="n">
        <f aca="false">Strategy_Compare!$E$38</f>
        <v>-3.15336548451317</v>
      </c>
    </row>
    <row r="41" customFormat="false" ht="15" hidden="false" customHeight="false" outlineLevel="0" collapsed="false">
      <c r="A41" s="10" t="s">
        <v>87</v>
      </c>
      <c r="B41" s="26" t="n">
        <f aca="false">Strategy_Compare!$B$39</f>
        <v>-2.62390964941347</v>
      </c>
      <c r="C41" s="26" t="n">
        <f aca="false">Strategy_Compare!$C$39</f>
        <v>-0.517989011392097</v>
      </c>
      <c r="D41" s="26" t="n">
        <f aca="false">Strategy_Compare!$D$39</f>
        <v>-3.87998340339093</v>
      </c>
      <c r="E41" s="26" t="n">
        <f aca="false">Strategy_Compare!$E$39</f>
        <v>5.70368213735708</v>
      </c>
    </row>
    <row r="42" customFormat="false" ht="15" hidden="false" customHeight="false" outlineLevel="0" collapsed="false">
      <c r="A42" s="10" t="s">
        <v>88</v>
      </c>
      <c r="B42" s="26" t="n">
        <f aca="false">Strategy_Compare!$B$40</f>
        <v>5.19706754024642</v>
      </c>
      <c r="C42" s="26" t="n">
        <f aca="false">Strategy_Compare!$C$40</f>
        <v>5.88597812329097</v>
      </c>
      <c r="D42" s="26" t="n">
        <f aca="false">Strategy_Compare!$D$40</f>
        <v>-0.92116315411834</v>
      </c>
      <c r="E42" s="26" t="n">
        <f aca="false">Strategy_Compare!$E$40</f>
        <v>13.3031928336225</v>
      </c>
    </row>
    <row r="43" customFormat="false" ht="15" hidden="false" customHeight="false" outlineLevel="0" collapsed="false">
      <c r="A43" s="10" t="s">
        <v>89</v>
      </c>
      <c r="B43" s="28" t="n">
        <f aca="false">Strategy_Compare!$B$41</f>
        <v>0.35</v>
      </c>
      <c r="C43" s="28" t="n">
        <f aca="false">Strategy_Compare!$C$41</f>
        <v>0.25</v>
      </c>
      <c r="D43" s="28" t="n">
        <f aca="false">Strategy_Compare!$D$41</f>
        <v>0.3</v>
      </c>
      <c r="E43" s="28" t="n">
        <f aca="false">Strategy_Compare!$E$41</f>
        <v>0.25</v>
      </c>
    </row>
    <row r="44" customFormat="false" ht="15" hidden="false" customHeight="false" outlineLevel="0" collapsed="false">
      <c r="A44" s="10" t="s">
        <v>90</v>
      </c>
      <c r="B44" s="28" t="n">
        <f aca="false">Strategy_Compare!$B$42</f>
        <v>0.5</v>
      </c>
      <c r="C44" s="28" t="n">
        <f aca="false">Strategy_Compare!$C$42</f>
        <v>0.55</v>
      </c>
      <c r="D44" s="28" t="n">
        <f aca="false">Strategy_Compare!$D$42</f>
        <v>0.55</v>
      </c>
      <c r="E44" s="28" t="n">
        <f aca="false">Strategy_Compare!$E$42</f>
        <v>0.55</v>
      </c>
    </row>
    <row r="45" customFormat="false" ht="15" hidden="false" customHeight="false" outlineLevel="0" collapsed="false">
      <c r="A45" s="10" t="s">
        <v>91</v>
      </c>
      <c r="B45" s="28" t="n">
        <f aca="false">Strategy_Compare!$B$43</f>
        <v>0.15</v>
      </c>
      <c r="C45" s="28" t="n">
        <f aca="false">Strategy_Compare!$C$43</f>
        <v>0.2</v>
      </c>
      <c r="D45" s="28" t="n">
        <f aca="false">Strategy_Compare!$D$43</f>
        <v>0.15</v>
      </c>
      <c r="E45" s="28" t="n">
        <f aca="false">Strategy_Compare!$E$43</f>
        <v>0.2</v>
      </c>
    </row>
    <row r="46" customFormat="false" ht="15" hidden="false" customHeight="false" outlineLevel="0" collapsed="false">
      <c r="A46" s="7" t="s">
        <v>92</v>
      </c>
      <c r="B46" s="19" t="n">
        <f aca="false">Strategy_Compare!$B$45</f>
        <v>-4.61685157356673</v>
      </c>
      <c r="C46" s="19" t="n">
        <f aca="false">Strategy_Compare!$C$45</f>
        <v>-1.06676738768496</v>
      </c>
      <c r="D46" s="19" t="n">
        <f aca="false">Strategy_Compare!$D$45</f>
        <v>-4.49879289519605</v>
      </c>
      <c r="E46" s="19" t="n">
        <f aca="false">Strategy_Compare!$E$45</f>
        <v>5.00932237114259</v>
      </c>
    </row>
    <row r="47" customFormat="false" ht="15" hidden="false" customHeight="false" outlineLevel="0" collapsed="false">
      <c r="A47" s="7" t="s">
        <v>93</v>
      </c>
      <c r="B47" s="19" t="n">
        <f aca="false">Strategy_Compare!$B$48</f>
        <v>-3.1922933233784</v>
      </c>
      <c r="C47" s="19" t="n">
        <f aca="false">Strategy_Compare!$C$48</f>
        <v>-0.60919387528039</v>
      </c>
      <c r="D47" s="19" t="n">
        <f aca="false">Strategy_Compare!$D$48</f>
        <v>-3.80223205562728</v>
      </c>
      <c r="E47" s="19" t="n">
        <f aca="false">Strategy_Compare!$E$48</f>
        <v>5.00932237114259</v>
      </c>
    </row>
    <row r="48" customFormat="false" ht="15" hidden="false" customHeight="false" outlineLevel="0" collapsed="false">
      <c r="A48" s="10" t="s">
        <v>94</v>
      </c>
      <c r="B48" s="28" t="n">
        <f aca="false">Strategy_Compare!$B$50</f>
        <v>0.85</v>
      </c>
      <c r="C48" s="28" t="n">
        <f aca="false">Strategy_Compare!$C$50</f>
        <v>0.8</v>
      </c>
      <c r="D48" s="28" t="n">
        <f aca="false">Strategy_Compare!$D$50</f>
        <v>1</v>
      </c>
      <c r="E48" s="28" t="n">
        <f aca="false">Strategy_Compare!$E$50</f>
        <v>0.25</v>
      </c>
    </row>
    <row r="49" customFormat="false" ht="15" hidden="false" customHeight="false" outlineLevel="0" collapsed="false">
      <c r="A49" s="10" t="s">
        <v>95</v>
      </c>
      <c r="B49" s="26" t="n">
        <f aca="false">Strategy_Compare!$B$51</f>
        <v>17.6062780578814</v>
      </c>
      <c r="C49" s="26" t="n">
        <f aca="false">Strategy_Compare!$C$51</f>
        <v>11.9680588901332</v>
      </c>
      <c r="D49" s="26" t="n">
        <f aca="false">Strategy_Compare!$D$51</f>
        <v>9.51601892870561</v>
      </c>
      <c r="E49" s="26" t="n">
        <f aca="false">Strategy_Compare!$E$51</f>
        <v>7.81382525943701</v>
      </c>
    </row>
    <row r="50" customFormat="false" ht="15" hidden="false" customHeight="false" outlineLevel="0" collapsed="false">
      <c r="A50" s="10" t="s">
        <v>96</v>
      </c>
      <c r="B50" s="26" t="n">
        <f aca="false">Strategy_Compare!$B$52</f>
        <v>22.7698584573639</v>
      </c>
      <c r="C50" s="26" t="n">
        <f aca="false">Strategy_Compare!$C$52</f>
        <v>16.4006525246234</v>
      </c>
      <c r="D50" s="26" t="n">
        <f aca="false">Strategy_Compare!$D$52</f>
        <v>11.8940701337901</v>
      </c>
      <c r="E50" s="26" t="n">
        <f aca="false">Strategy_Compare!$E$52</f>
        <v>11.6918182700299</v>
      </c>
    </row>
    <row r="51" customFormat="false" ht="15" hidden="false" customHeight="false" outlineLevel="0" collapsed="false">
      <c r="A51" s="7" t="s">
        <v>97</v>
      </c>
      <c r="B51" s="21" t="n">
        <f aca="false">Strategy_Compare!$B$67</f>
        <v>2.2</v>
      </c>
      <c r="C51" s="21" t="n">
        <f aca="false">Strategy_Compare!$C$67</f>
        <v>4.01814872016264</v>
      </c>
      <c r="D51" s="21" t="n">
        <f aca="false">Strategy_Compare!$D$67</f>
        <v>2.93325517711388</v>
      </c>
    </row>
    <row r="52" customFormat="false" ht="15" hidden="false" customHeight="false" outlineLevel="0" collapsed="false">
      <c r="A52" s="10" t="s">
        <v>98</v>
      </c>
      <c r="B52" s="32" t="n">
        <f aca="false">Strategy_Compare!$B$68</f>
        <v>3</v>
      </c>
      <c r="C52" s="32" t="n">
        <f aca="false">Strategy_Compare!$C$68</f>
        <v>1</v>
      </c>
      <c r="D52" s="32" t="n">
        <f aca="false">Strategy_Compare!$D$68</f>
        <v>2</v>
      </c>
    </row>
    <row r="54" customFormat="false" ht="15" hidden="false" customHeight="false" outlineLevel="0" collapsed="false">
      <c r="A54" s="4" t="s">
        <v>99</v>
      </c>
      <c r="B54" s="5"/>
      <c r="C54" s="5"/>
      <c r="D54" s="5"/>
      <c r="E54" s="5"/>
    </row>
    <row r="55" customFormat="false" ht="31.5" hidden="false" customHeight="true" outlineLevel="0" collapsed="false">
      <c r="A55" s="16" t="s">
        <v>100</v>
      </c>
      <c r="B55" s="17" t="s">
        <v>64</v>
      </c>
      <c r="C55" s="17" t="s">
        <v>65</v>
      </c>
      <c r="D55" s="17" t="s">
        <v>66</v>
      </c>
      <c r="E55" s="17" t="s">
        <v>67</v>
      </c>
    </row>
    <row r="56" customFormat="false" ht="15" hidden="false" customHeight="false" outlineLevel="0" collapsed="false">
      <c r="A56" s="10" t="s">
        <v>101</v>
      </c>
      <c r="B56" s="33" t="n">
        <f aca="false">Model_A_Direct!$D$49/1000000</f>
        <v>1.0443</v>
      </c>
      <c r="C56" s="33" t="n">
        <f aca="false">Model_B_Partner!$D$49/1000000</f>
        <v>0.549648</v>
      </c>
      <c r="D56" s="33" t="n">
        <f aca="false">Model_C_Distributor!$D$49/1000000</f>
        <v>0.22376</v>
      </c>
      <c r="E56" s="33" t="n">
        <f aca="false">Model_B_Plus!$D$49/1000000</f>
        <v>0.66824448</v>
      </c>
    </row>
    <row r="57" customFormat="false" ht="15" hidden="false" customHeight="false" outlineLevel="0" collapsed="false">
      <c r="A57" s="10" t="s">
        <v>102</v>
      </c>
      <c r="B57" s="33" t="n">
        <f aca="false">Model_A_Direct!$E$49/1000000</f>
        <v>3.140706432</v>
      </c>
      <c r="C57" s="33" t="n">
        <f aca="false">Model_B_Partner!$E$49/1000000</f>
        <v>1.98417127968</v>
      </c>
      <c r="D57" s="33" t="n">
        <f aca="false">Model_C_Distributor!$E$49/1000000</f>
        <v>0.9333792992</v>
      </c>
      <c r="E57" s="33" t="n">
        <f aca="false">Model_B_Plus!$E$49/1000000</f>
        <v>2.4453538123968</v>
      </c>
    </row>
    <row r="58" customFormat="false" ht="15" hidden="false" customHeight="false" outlineLevel="0" collapsed="false">
      <c r="A58" s="10" t="s">
        <v>103</v>
      </c>
      <c r="B58" s="33" t="n">
        <f aca="false">Model_A_Direct!$F$49/1000000</f>
        <v>6.39678972422137</v>
      </c>
      <c r="C58" s="33" t="n">
        <f aca="false">Model_B_Partner!$F$49/1000000</f>
        <v>4.42769213016862</v>
      </c>
      <c r="D58" s="33" t="n">
        <f aca="false">Model_C_Distributor!$F$49/1000000</f>
        <v>2.31435508810863</v>
      </c>
      <c r="E58" s="33" t="n">
        <f aca="false">Model_B_Plus!$F$49/1000000</f>
        <v>5.49380008401247</v>
      </c>
    </row>
    <row r="59" customFormat="false" ht="31.5" hidden="false" customHeight="true" outlineLevel="0" collapsed="false">
      <c r="A59" s="16" t="s">
        <v>104</v>
      </c>
      <c r="B59" s="17" t="s">
        <v>64</v>
      </c>
      <c r="C59" s="17" t="s">
        <v>65</v>
      </c>
      <c r="D59" s="17" t="s">
        <v>66</v>
      </c>
      <c r="E59" s="17" t="s">
        <v>67</v>
      </c>
    </row>
    <row r="60" customFormat="false" ht="15" hidden="false" customHeight="false" outlineLevel="0" collapsed="false">
      <c r="A60" s="10" t="s">
        <v>105</v>
      </c>
      <c r="B60" s="33" t="n">
        <f aca="false">Model_A_Direct!$C$103/1000000</f>
        <v>-1.69</v>
      </c>
      <c r="C60" s="33" t="n">
        <f aca="false">Model_B_Partner!$C$103/1000000</f>
        <v>-1.59</v>
      </c>
      <c r="D60" s="33" t="n">
        <f aca="false">Model_C_Distributor!$C$103/1000000</f>
        <v>-1.3</v>
      </c>
      <c r="E60" s="33" t="n">
        <f aca="false">Model_B_Plus!$C$103/1000000</f>
        <v>-1.59</v>
      </c>
    </row>
    <row r="61" customFormat="false" ht="15" hidden="false" customHeight="false" outlineLevel="0" collapsed="false">
      <c r="A61" s="10" t="s">
        <v>101</v>
      </c>
      <c r="B61" s="33" t="n">
        <f aca="false">Model_A_Direct!$D$103/1000000</f>
        <v>-6.09519712842466</v>
      </c>
      <c r="C61" s="33" t="n">
        <f aca="false">Model_B_Partner!$D$103/1000000</f>
        <v>-5.14941144736986</v>
      </c>
      <c r="D61" s="33" t="n">
        <f aca="false">Model_C_Distributor!$D$103/1000000</f>
        <v>-4.23078899636986</v>
      </c>
      <c r="E61" s="33" t="n">
        <f aca="false">Model_B_Plus!$D$103/1000000</f>
        <v>-4.35206402543945</v>
      </c>
    </row>
    <row r="62" customFormat="false" ht="15" hidden="false" customHeight="false" outlineLevel="0" collapsed="false">
      <c r="A62" s="10" t="s">
        <v>102</v>
      </c>
      <c r="B62" s="33" t="n">
        <f aca="false">Model_A_Direct!$E$103/1000000</f>
        <v>-10.3141254791265</v>
      </c>
      <c r="C62" s="33" t="n">
        <f aca="false">Model_B_Partner!$E$103/1000000</f>
        <v>-8.278407471623</v>
      </c>
      <c r="D62" s="33" t="n">
        <f aca="false">Model_C_Distributor!$E$103/1000000</f>
        <v>-6.73134573258388</v>
      </c>
      <c r="E62" s="33" t="n">
        <f aca="false">Model_B_Plus!$E$103/1000000</f>
        <v>-6.44856262721129</v>
      </c>
    </row>
    <row r="63" customFormat="false" ht="15" hidden="false" customHeight="false" outlineLevel="0" collapsed="false">
      <c r="A63" s="10" t="s">
        <v>103</v>
      </c>
      <c r="B63" s="33" t="n">
        <f aca="false">Model_A_Direct!$F$103/1000000</f>
        <v>-13.5366390825623</v>
      </c>
      <c r="C63" s="33" t="n">
        <f aca="false">Model_B_Partner!$F$103/1000000</f>
        <v>-10.1824069489916</v>
      </c>
      <c r="D63" s="33" t="n">
        <f aca="false">Model_C_Distributor!$F$103/1000000</f>
        <v>-7.92570064255394</v>
      </c>
      <c r="E63" s="33" t="n">
        <f aca="false">Model_B_Plus!$F$103/1000000</f>
        <v>-6.8426139137967</v>
      </c>
    </row>
    <row r="64" customFormat="false" ht="31.5" hidden="false" customHeight="true" outlineLevel="0" collapsed="false">
      <c r="A64" s="16" t="s">
        <v>106</v>
      </c>
      <c r="B64" s="17" t="s">
        <v>64</v>
      </c>
      <c r="C64" s="17" t="s">
        <v>65</v>
      </c>
      <c r="D64" s="17" t="s">
        <v>66</v>
      </c>
      <c r="E64" s="17" t="s">
        <v>67</v>
      </c>
    </row>
    <row r="65" customFormat="false" ht="15" hidden="false" customHeight="false" outlineLevel="0" collapsed="false">
      <c r="A65" s="10" t="s">
        <v>107</v>
      </c>
      <c r="B65" s="34" t="n">
        <f aca="false">Strategy_Compare!$B$38</f>
        <v>-11.6698767997056</v>
      </c>
      <c r="C65" s="34" t="n">
        <f aca="false">Strategy_Compare!$C$38</f>
        <v>-7.83627622430999</v>
      </c>
      <c r="D65" s="34" t="n">
        <f aca="false">Strategy_Compare!$D$38</f>
        <v>-7.4220918340443</v>
      </c>
      <c r="E65" s="34" t="n">
        <f aca="false">Strategy_Compare!$E$38</f>
        <v>-3.15336548451317</v>
      </c>
    </row>
    <row r="66" customFormat="false" ht="15" hidden="false" customHeight="false" outlineLevel="0" collapsed="false">
      <c r="A66" s="10" t="s">
        <v>108</v>
      </c>
      <c r="B66" s="34" t="n">
        <f aca="false">Strategy_Compare!$B$39</f>
        <v>-2.62390964941347</v>
      </c>
      <c r="C66" s="34" t="n">
        <f aca="false">Strategy_Compare!$C$39</f>
        <v>-0.517989011392097</v>
      </c>
      <c r="D66" s="34" t="n">
        <f aca="false">Strategy_Compare!$D$39</f>
        <v>-3.87998340339093</v>
      </c>
      <c r="E66" s="34" t="n">
        <f aca="false">Strategy_Compare!$E$39</f>
        <v>5.70368213735708</v>
      </c>
    </row>
    <row r="67" customFormat="false" ht="15" hidden="false" customHeight="false" outlineLevel="0" collapsed="false">
      <c r="A67" s="10" t="s">
        <v>109</v>
      </c>
      <c r="B67" s="34" t="n">
        <f aca="false">Strategy_Compare!$B$40</f>
        <v>5.19706754024642</v>
      </c>
      <c r="C67" s="34" t="n">
        <f aca="false">Strategy_Compare!$C$40</f>
        <v>5.88597812329097</v>
      </c>
      <c r="D67" s="34" t="n">
        <f aca="false">Strategy_Compare!$D$40</f>
        <v>-0.92116315411834</v>
      </c>
      <c r="E67" s="34" t="n">
        <f aca="false">Strategy_Compare!$E$40</f>
        <v>13.3031928336225</v>
      </c>
    </row>
    <row r="69" customFormat="false" ht="15" hidden="false" customHeight="false" outlineLevel="0" collapsed="false">
      <c r="A69" s="4" t="s">
        <v>110</v>
      </c>
      <c r="B69" s="5"/>
      <c r="C69" s="5"/>
      <c r="D69" s="5"/>
      <c r="E69" s="5"/>
    </row>
    <row r="70" customFormat="false" ht="15" hidden="false" customHeight="false" outlineLevel="0" collapsed="false">
      <c r="A70" s="10" t="s">
        <v>111</v>
      </c>
      <c r="B70" s="35" t="str">
        <f aca="false">IF(AND(ROUND(Strategy_Compare!B44,6)=1,ROUND(Strategy_Compare!C44,6)=1,ROUND(Strategy_Compare!D44,6)=1,ROUND(Strategy_Compare!E44,6)=1),"OK","CHECK")</f>
        <v>OK</v>
      </c>
    </row>
    <row r="71" customFormat="false" ht="15" hidden="false" customHeight="false" outlineLevel="0" collapsed="false">
      <c r="A71" s="10" t="s">
        <v>112</v>
      </c>
      <c r="B71" s="35" t="str">
        <f aca="false">IF(AND(ABS(Model_A_Direct!$C$151)&lt;1,ABS(Model_B_Partner!$C$151)&lt;1,ABS(Model_C_Distributor!$C$151)&lt;1,ABS(Model_B_Plus!$C$151)&lt;1),"OK","CHECK")</f>
        <v>OK</v>
      </c>
    </row>
    <row r="72" customFormat="false" ht="15" hidden="false" customHeight="false" outlineLevel="0" collapsed="false">
      <c r="A72" s="10" t="s">
        <v>113</v>
      </c>
      <c r="B72" s="35" t="str">
        <f aca="false">IF(ROUND(Strategy_Compare!E66,6)=1,"OK","CHECK")</f>
        <v>OK</v>
      </c>
    </row>
    <row r="73" customFormat="false" ht="15" hidden="false" customHeight="false" outlineLevel="0" collapsed="false">
      <c r="A73" s="10" t="s">
        <v>114</v>
      </c>
      <c r="B73" s="35" t="str">
        <f aca="false">IF(AND(ROUND(Segmentation!H19,6)=1,ROUND(Competitors!I6,6)=1),"OK","CHECK")</f>
        <v>OK</v>
      </c>
    </row>
    <row r="74" customFormat="false" ht="15" hidden="false" customHeight="false" outlineLevel="0" collapsed="false">
      <c r="A74" s="10" t="s">
        <v>115</v>
      </c>
      <c r="B74" s="35" t="str">
        <f aca="false">IFERROR(IF(AND(Sensitivity!B45="Current",Sensitivity!C45="Current",Sensitivity!D45="Current",Sensitivity!E45="Current"),"OK","STALE - re-run snapshot"),"n/a")</f>
        <v>OK</v>
      </c>
    </row>
  </sheetData>
  <mergeCells count="2">
    <mergeCell ref="B5:E5"/>
    <mergeCell ref="B15:E15"/>
  </mergeCells>
  <conditionalFormatting sqref="B70:B74">
    <cfRule type="cellIs" priority="2" operator="equal" aboveAverage="0" equalAverage="0" bottom="0" percent="0" rank="0" text="" dxfId="0">
      <formula>"OK"</formula>
    </cfRule>
    <cfRule type="cellIs" priority="3" operator="not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3"/>
    <col collapsed="false" customWidth="true" hidden="false" outlineLevel="0" max="5" min="3" style="0" width="15"/>
    <col collapsed="false" customWidth="true" hidden="false" outlineLevel="0" max="6" min="6" style="0" width="95"/>
  </cols>
  <sheetData>
    <row r="1" customFormat="false" ht="17.35" hidden="false" customHeight="false" outlineLevel="0" collapsed="false">
      <c r="A1" s="13" t="s">
        <v>116</v>
      </c>
    </row>
    <row r="2" customFormat="false" ht="15" hidden="false" customHeight="false" outlineLevel="0" collapsed="false">
      <c r="A2" s="14" t="s">
        <v>117</v>
      </c>
    </row>
    <row r="5" customFormat="false" ht="15" hidden="false" customHeight="false" outlineLevel="0" collapsed="false">
      <c r="A5" s="4" t="s">
        <v>118</v>
      </c>
      <c r="B5" s="5"/>
      <c r="C5" s="5"/>
      <c r="D5" s="5"/>
      <c r="E5" s="5"/>
      <c r="F5" s="5"/>
    </row>
    <row r="6" customFormat="false" ht="15" hidden="false" customHeight="false" outlineLevel="0" collapsed="false">
      <c r="A6" s="16" t="s">
        <v>119</v>
      </c>
      <c r="B6" s="17" t="s">
        <v>120</v>
      </c>
      <c r="C6" s="17" t="s">
        <v>121</v>
      </c>
      <c r="D6" s="17"/>
      <c r="E6" s="17"/>
      <c r="F6" s="17" t="s">
        <v>122</v>
      </c>
    </row>
    <row r="7" customFormat="false" ht="22.35" hidden="false" customHeight="false" outlineLevel="0" collapsed="false">
      <c r="A7" s="10" t="s">
        <v>123</v>
      </c>
      <c r="B7" s="36" t="s">
        <v>124</v>
      </c>
      <c r="C7" s="37" t="n">
        <v>23.5</v>
      </c>
      <c r="F7" s="38" t="s">
        <v>125</v>
      </c>
    </row>
    <row r="8" customFormat="false" ht="22.35" hidden="false" customHeight="false" outlineLevel="0" collapsed="false">
      <c r="A8" s="10" t="s">
        <v>126</v>
      </c>
      <c r="B8" s="36" t="s">
        <v>127</v>
      </c>
      <c r="C8" s="39" t="n">
        <v>0.12</v>
      </c>
      <c r="F8" s="38" t="s">
        <v>128</v>
      </c>
    </row>
    <row r="9" customFormat="false" ht="15" hidden="false" customHeight="false" outlineLevel="0" collapsed="false">
      <c r="A9" s="10" t="s">
        <v>129</v>
      </c>
      <c r="B9" s="36" t="s">
        <v>127</v>
      </c>
      <c r="C9" s="40" t="n">
        <v>0.03</v>
      </c>
      <c r="F9" s="38" t="s">
        <v>130</v>
      </c>
    </row>
    <row r="10" customFormat="false" ht="15" hidden="false" customHeight="false" outlineLevel="0" collapsed="false">
      <c r="A10" s="10" t="s">
        <v>131</v>
      </c>
      <c r="B10" s="36" t="s">
        <v>127</v>
      </c>
      <c r="C10" s="39" t="n">
        <v>0.2</v>
      </c>
      <c r="F10" s="38" t="s">
        <v>132</v>
      </c>
    </row>
    <row r="11" customFormat="false" ht="32.8" hidden="false" customHeight="false" outlineLevel="0" collapsed="false">
      <c r="A11" s="10" t="s">
        <v>133</v>
      </c>
      <c r="B11" s="36" t="s">
        <v>134</v>
      </c>
      <c r="C11" s="41" t="n">
        <v>1</v>
      </c>
      <c r="F11" s="38" t="s">
        <v>135</v>
      </c>
    </row>
    <row r="12" customFormat="false" ht="15" hidden="false" customHeight="false" outlineLevel="0" collapsed="false">
      <c r="A12" s="10" t="s">
        <v>136</v>
      </c>
      <c r="B12" s="36" t="s">
        <v>137</v>
      </c>
      <c r="C12" s="42" t="n">
        <v>0.6</v>
      </c>
      <c r="F12" s="38" t="s">
        <v>138</v>
      </c>
    </row>
    <row r="13" customFormat="false" ht="15" hidden="false" customHeight="false" outlineLevel="0" collapsed="false">
      <c r="A13" s="10" t="s">
        <v>139</v>
      </c>
      <c r="B13" s="36" t="s">
        <v>127</v>
      </c>
      <c r="C13" s="40" t="n">
        <v>0.6</v>
      </c>
      <c r="F13" s="38" t="s">
        <v>140</v>
      </c>
    </row>
    <row r="14" customFormat="false" ht="15" hidden="false" customHeight="false" outlineLevel="0" collapsed="false">
      <c r="A14" s="10" t="s">
        <v>141</v>
      </c>
      <c r="B14" s="36" t="s">
        <v>127</v>
      </c>
      <c r="C14" s="40" t="n">
        <v>0.1</v>
      </c>
      <c r="F14" s="38" t="s">
        <v>142</v>
      </c>
    </row>
    <row r="15" customFormat="false" ht="22.35" hidden="false" customHeight="false" outlineLevel="0" collapsed="false">
      <c r="A15" s="10" t="s">
        <v>143</v>
      </c>
      <c r="B15" s="36" t="s">
        <v>127</v>
      </c>
      <c r="C15" s="40" t="n">
        <v>0.24</v>
      </c>
      <c r="F15" s="38" t="s">
        <v>144</v>
      </c>
    </row>
    <row r="16" customFormat="false" ht="22.35" hidden="false" customHeight="false" outlineLevel="0" collapsed="false">
      <c r="A16" s="10" t="s">
        <v>145</v>
      </c>
      <c r="B16" s="36" t="s">
        <v>134</v>
      </c>
      <c r="C16" s="43" t="n">
        <v>0</v>
      </c>
      <c r="F16" s="38" t="s">
        <v>146</v>
      </c>
    </row>
    <row r="17" customFormat="false" ht="15" hidden="false" customHeight="false" outlineLevel="0" collapsed="false">
      <c r="A17" s="10" t="s">
        <v>147</v>
      </c>
      <c r="B17" s="36" t="s">
        <v>127</v>
      </c>
      <c r="C17" s="40" t="n">
        <v>0.1</v>
      </c>
      <c r="F17" s="38" t="s">
        <v>148</v>
      </c>
    </row>
    <row r="18" customFormat="false" ht="22.35" hidden="false" customHeight="false" outlineLevel="0" collapsed="false">
      <c r="A18" s="10" t="s">
        <v>149</v>
      </c>
      <c r="B18" s="36" t="s">
        <v>127</v>
      </c>
      <c r="C18" s="40" t="n">
        <v>0.08</v>
      </c>
      <c r="F18" s="38" t="s">
        <v>150</v>
      </c>
    </row>
    <row r="19" customFormat="false" ht="15" hidden="false" customHeight="false" outlineLevel="0" collapsed="false">
      <c r="A19" s="10" t="s">
        <v>151</v>
      </c>
      <c r="B19" s="36" t="s">
        <v>127</v>
      </c>
      <c r="C19" s="40" t="n">
        <v>0.15</v>
      </c>
      <c r="F19" s="38" t="s">
        <v>152</v>
      </c>
    </row>
    <row r="20" customFormat="false" ht="15" hidden="false" customHeight="false" outlineLevel="0" collapsed="false">
      <c r="A20" s="10" t="s">
        <v>153</v>
      </c>
      <c r="B20" s="36" t="s">
        <v>154</v>
      </c>
      <c r="C20" s="43" t="n">
        <v>13</v>
      </c>
      <c r="F20" s="38" t="s">
        <v>155</v>
      </c>
    </row>
    <row r="21" customFormat="false" ht="15" hidden="false" customHeight="false" outlineLevel="0" collapsed="false">
      <c r="A21" s="10" t="s">
        <v>156</v>
      </c>
      <c r="B21" s="36" t="s">
        <v>127</v>
      </c>
      <c r="C21" s="40" t="n">
        <v>0.04</v>
      </c>
      <c r="F21" s="38" t="s">
        <v>157</v>
      </c>
    </row>
    <row r="22" customFormat="false" ht="15" hidden="false" customHeight="false" outlineLevel="0" collapsed="false">
      <c r="A22" s="10" t="s">
        <v>158</v>
      </c>
      <c r="B22" s="36" t="s">
        <v>127</v>
      </c>
      <c r="C22" s="40" t="n">
        <v>0.03</v>
      </c>
      <c r="F22" s="38" t="s">
        <v>159</v>
      </c>
    </row>
    <row r="23" customFormat="false" ht="22.35" hidden="false" customHeight="false" outlineLevel="0" collapsed="false">
      <c r="A23" s="10" t="s">
        <v>160</v>
      </c>
      <c r="B23" s="36" t="s">
        <v>127</v>
      </c>
      <c r="C23" s="40" t="n">
        <v>0.03</v>
      </c>
      <c r="F23" s="38" t="s">
        <v>161</v>
      </c>
    </row>
    <row r="24" customFormat="false" ht="15" hidden="false" customHeight="false" outlineLevel="0" collapsed="false">
      <c r="A24" s="10" t="s">
        <v>162</v>
      </c>
      <c r="B24" s="36" t="s">
        <v>163</v>
      </c>
      <c r="C24" s="43" t="n">
        <v>60</v>
      </c>
      <c r="F24" s="38" t="s">
        <v>164</v>
      </c>
    </row>
    <row r="25" customFormat="false" ht="15" hidden="false" customHeight="false" outlineLevel="0" collapsed="false">
      <c r="A25" s="10" t="s">
        <v>165</v>
      </c>
      <c r="B25" s="36" t="s">
        <v>127</v>
      </c>
      <c r="C25" s="40" t="n">
        <v>0.25</v>
      </c>
      <c r="F25" s="38" t="s">
        <v>166</v>
      </c>
    </row>
    <row r="26" customFormat="false" ht="15" hidden="false" customHeight="false" outlineLevel="0" collapsed="false">
      <c r="A26" s="10" t="s">
        <v>167</v>
      </c>
      <c r="B26" s="36" t="s">
        <v>163</v>
      </c>
      <c r="C26" s="43" t="n">
        <v>30</v>
      </c>
      <c r="F26" s="38" t="s">
        <v>155</v>
      </c>
    </row>
    <row r="27" customFormat="false" ht="15" hidden="false" customHeight="false" outlineLevel="0" collapsed="false">
      <c r="A27" s="10" t="s">
        <v>168</v>
      </c>
      <c r="B27" s="36" t="s">
        <v>169</v>
      </c>
      <c r="C27" s="44" t="n">
        <v>8000</v>
      </c>
      <c r="F27" s="38" t="s">
        <v>170</v>
      </c>
    </row>
    <row r="28" customFormat="false" ht="15" hidden="false" customHeight="false" outlineLevel="0" collapsed="false">
      <c r="A28" s="10" t="s">
        <v>171</v>
      </c>
      <c r="B28" s="36" t="s">
        <v>172</v>
      </c>
      <c r="C28" s="43" t="n">
        <v>3</v>
      </c>
      <c r="F28" s="38" t="s">
        <v>173</v>
      </c>
    </row>
    <row r="29" customFormat="false" ht="15" hidden="false" customHeight="false" outlineLevel="0" collapsed="false">
      <c r="A29" s="10" t="s">
        <v>174</v>
      </c>
      <c r="B29" s="36" t="s">
        <v>127</v>
      </c>
      <c r="C29" s="40" t="n">
        <v>0.015</v>
      </c>
      <c r="F29" s="38" t="s">
        <v>155</v>
      </c>
    </row>
    <row r="30" customFormat="false" ht="15" hidden="false" customHeight="false" outlineLevel="0" collapsed="false">
      <c r="A30" s="10" t="s">
        <v>175</v>
      </c>
      <c r="B30" s="36" t="s">
        <v>127</v>
      </c>
      <c r="C30" s="40" t="n">
        <v>0.05</v>
      </c>
      <c r="F30" s="38" t="s">
        <v>176</v>
      </c>
    </row>
    <row r="31" customFormat="false" ht="15" hidden="false" customHeight="false" outlineLevel="0" collapsed="false">
      <c r="A31" s="10" t="s">
        <v>177</v>
      </c>
      <c r="B31" s="36" t="s">
        <v>127</v>
      </c>
      <c r="C31" s="40" t="n">
        <v>0.12</v>
      </c>
      <c r="F31" s="38" t="s">
        <v>178</v>
      </c>
    </row>
    <row r="32" customFormat="false" ht="15" hidden="false" customHeight="false" outlineLevel="0" collapsed="false">
      <c r="A32" s="10" t="s">
        <v>179</v>
      </c>
      <c r="B32" s="36" t="s">
        <v>169</v>
      </c>
      <c r="C32" s="44" t="n">
        <v>24000</v>
      </c>
      <c r="F32" s="38" t="s">
        <v>180</v>
      </c>
    </row>
    <row r="33" customFormat="false" ht="22.35" hidden="false" customHeight="false" outlineLevel="0" collapsed="false">
      <c r="A33" s="10" t="s">
        <v>181</v>
      </c>
      <c r="B33" s="36" t="s">
        <v>127</v>
      </c>
      <c r="C33" s="39" t="n">
        <v>0.8</v>
      </c>
      <c r="F33" s="38" t="s">
        <v>182</v>
      </c>
    </row>
    <row r="34" customFormat="false" ht="15" hidden="false" customHeight="false" outlineLevel="0" collapsed="false">
      <c r="A34" s="10" t="s">
        <v>183</v>
      </c>
      <c r="B34" s="36" t="s">
        <v>127</v>
      </c>
      <c r="C34" s="40" t="n">
        <v>0.1</v>
      </c>
      <c r="F34" s="38" t="s">
        <v>184</v>
      </c>
    </row>
    <row r="35" customFormat="false" ht="15" hidden="false" customHeight="false" outlineLevel="0" collapsed="false">
      <c r="A35" s="10" t="s">
        <v>185</v>
      </c>
      <c r="B35" s="36" t="s">
        <v>127</v>
      </c>
      <c r="C35" s="39" t="n">
        <v>0.5</v>
      </c>
      <c r="F35" s="38" t="s">
        <v>186</v>
      </c>
    </row>
    <row r="36" customFormat="false" ht="15" hidden="false" customHeight="false" outlineLevel="0" collapsed="false">
      <c r="A36" s="10" t="s">
        <v>187</v>
      </c>
      <c r="B36" s="36" t="s">
        <v>169</v>
      </c>
      <c r="C36" s="45" t="n">
        <v>12000000</v>
      </c>
      <c r="F36" s="38" t="s">
        <v>188</v>
      </c>
    </row>
    <row r="38" customFormat="false" ht="15" hidden="false" customHeight="false" outlineLevel="0" collapsed="false">
      <c r="A38" s="4" t="s">
        <v>189</v>
      </c>
      <c r="B38" s="5"/>
      <c r="C38" s="5"/>
      <c r="D38" s="5"/>
      <c r="E38" s="5"/>
      <c r="F38" s="5"/>
    </row>
    <row r="39" customFormat="false" ht="15" hidden="false" customHeight="false" outlineLevel="0" collapsed="false">
      <c r="A39" s="16" t="s">
        <v>119</v>
      </c>
      <c r="B39" s="17" t="s">
        <v>120</v>
      </c>
      <c r="C39" s="17" t="s">
        <v>107</v>
      </c>
      <c r="D39" s="17" t="s">
        <v>108</v>
      </c>
      <c r="E39" s="17" t="s">
        <v>109</v>
      </c>
      <c r="F39" s="17" t="s">
        <v>122</v>
      </c>
    </row>
    <row r="40" customFormat="false" ht="22.35" hidden="false" customHeight="false" outlineLevel="0" collapsed="false">
      <c r="A40" s="10" t="s">
        <v>190</v>
      </c>
      <c r="B40" s="36" t="s">
        <v>137</v>
      </c>
      <c r="C40" s="42" t="n">
        <v>0.65</v>
      </c>
      <c r="D40" s="42" t="n">
        <v>1</v>
      </c>
      <c r="E40" s="42" t="n">
        <v>1.3</v>
      </c>
      <c r="F40" s="38" t="s">
        <v>191</v>
      </c>
    </row>
    <row r="41" customFormat="false" ht="15" hidden="false" customHeight="false" outlineLevel="0" collapsed="false">
      <c r="A41" s="10" t="s">
        <v>192</v>
      </c>
      <c r="B41" s="36" t="s">
        <v>137</v>
      </c>
      <c r="C41" s="37" t="n">
        <v>0.9</v>
      </c>
      <c r="D41" s="37" t="n">
        <v>1</v>
      </c>
      <c r="E41" s="37" t="n">
        <v>1.08</v>
      </c>
      <c r="F41" s="38" t="s">
        <v>193</v>
      </c>
    </row>
    <row r="42" customFormat="false" ht="15" hidden="false" customHeight="false" outlineLevel="0" collapsed="false">
      <c r="A42" s="10" t="s">
        <v>194</v>
      </c>
      <c r="B42" s="36" t="s">
        <v>195</v>
      </c>
      <c r="C42" s="40" t="n">
        <v>0.03</v>
      </c>
      <c r="D42" s="40" t="n">
        <v>0</v>
      </c>
      <c r="E42" s="40" t="n">
        <v>-0.015</v>
      </c>
      <c r="F42" s="38" t="s">
        <v>196</v>
      </c>
    </row>
    <row r="43" customFormat="false" ht="15" hidden="false" customHeight="false" outlineLevel="0" collapsed="false">
      <c r="A43" s="10" t="s">
        <v>197</v>
      </c>
      <c r="B43" s="36" t="s">
        <v>137</v>
      </c>
      <c r="C43" s="37" t="n">
        <v>1.05</v>
      </c>
      <c r="D43" s="37" t="n">
        <v>1</v>
      </c>
      <c r="E43" s="37" t="n">
        <v>1</v>
      </c>
      <c r="F43" s="38" t="s">
        <v>198</v>
      </c>
    </row>
    <row r="44" customFormat="false" ht="15" hidden="false" customHeight="false" outlineLevel="0" collapsed="false">
      <c r="A44" s="10" t="s">
        <v>199</v>
      </c>
      <c r="B44" s="36" t="s">
        <v>127</v>
      </c>
      <c r="C44" s="39" t="n">
        <v>0.35</v>
      </c>
      <c r="D44" s="39" t="n">
        <v>0.5</v>
      </c>
      <c r="E44" s="39" t="n">
        <v>0.15</v>
      </c>
      <c r="F44" s="38" t="s">
        <v>200</v>
      </c>
    </row>
    <row r="45" customFormat="false" ht="15" hidden="false" customHeight="false" outlineLevel="0" collapsed="false">
      <c r="A45" s="10" t="s">
        <v>201</v>
      </c>
      <c r="B45" s="36" t="s">
        <v>127</v>
      </c>
      <c r="C45" s="39" t="n">
        <v>0.25</v>
      </c>
      <c r="D45" s="39" t="n">
        <v>0.55</v>
      </c>
      <c r="E45" s="39" t="n">
        <v>0.2</v>
      </c>
      <c r="F45" s="38" t="s">
        <v>202</v>
      </c>
    </row>
    <row r="46" customFormat="false" ht="15" hidden="false" customHeight="false" outlineLevel="0" collapsed="false">
      <c r="A46" s="10" t="s">
        <v>203</v>
      </c>
      <c r="B46" s="36" t="s">
        <v>127</v>
      </c>
      <c r="C46" s="39" t="n">
        <v>0.3</v>
      </c>
      <c r="D46" s="39" t="n">
        <v>0.55</v>
      </c>
      <c r="E46" s="39" t="n">
        <v>0.15</v>
      </c>
      <c r="F46" s="38" t="s">
        <v>204</v>
      </c>
    </row>
    <row r="47" customFormat="false" ht="15" hidden="false" customHeight="false" outlineLevel="0" collapsed="false">
      <c r="A47" s="10" t="s">
        <v>205</v>
      </c>
      <c r="B47" s="36" t="s">
        <v>127</v>
      </c>
      <c r="C47" s="46" t="n">
        <f aca="false">C45</f>
        <v>0.25</v>
      </c>
      <c r="D47" s="46" t="n">
        <f aca="false">D45</f>
        <v>0.55</v>
      </c>
      <c r="E47" s="46" t="n">
        <f aca="false">E45</f>
        <v>0.2</v>
      </c>
      <c r="F47" s="38" t="s">
        <v>206</v>
      </c>
    </row>
    <row r="49" customFormat="false" ht="15" hidden="false" customHeight="false" outlineLevel="0" collapsed="false">
      <c r="A49" s="4" t="s">
        <v>207</v>
      </c>
      <c r="B49" s="5"/>
      <c r="C49" s="5"/>
      <c r="D49" s="5"/>
      <c r="E49" s="5"/>
      <c r="F49" s="5"/>
    </row>
    <row r="50" customFormat="false" ht="15" hidden="false" customHeight="false" outlineLevel="0" collapsed="false">
      <c r="A50" s="16" t="s">
        <v>119</v>
      </c>
      <c r="B50" s="17" t="s">
        <v>120</v>
      </c>
      <c r="C50" s="17" t="s">
        <v>208</v>
      </c>
      <c r="D50" s="17" t="s">
        <v>209</v>
      </c>
      <c r="E50" s="17" t="s">
        <v>210</v>
      </c>
      <c r="F50" s="17" t="s">
        <v>122</v>
      </c>
    </row>
    <row r="51" customFormat="false" ht="32.8" hidden="false" customHeight="false" outlineLevel="0" collapsed="false">
      <c r="A51" s="10" t="s">
        <v>211</v>
      </c>
      <c r="B51" s="36" t="s">
        <v>169</v>
      </c>
      <c r="C51" s="45" t="n">
        <v>65000</v>
      </c>
      <c r="D51" s="45" t="n">
        <v>22000</v>
      </c>
      <c r="E51" s="45" t="n">
        <v>4800</v>
      </c>
      <c r="F51" s="38" t="s">
        <v>212</v>
      </c>
    </row>
    <row r="52" customFormat="false" ht="15" hidden="false" customHeight="false" outlineLevel="0" collapsed="false">
      <c r="A52" s="10" t="s">
        <v>213</v>
      </c>
      <c r="B52" s="36" t="s">
        <v>169</v>
      </c>
      <c r="C52" s="44" t="n">
        <v>40000</v>
      </c>
      <c r="D52" s="44" t="n">
        <v>12000</v>
      </c>
      <c r="E52" s="44" t="n">
        <v>1500</v>
      </c>
      <c r="F52" s="38" t="s">
        <v>214</v>
      </c>
    </row>
    <row r="53" customFormat="false" ht="15" hidden="false" customHeight="false" outlineLevel="0" collapsed="false">
      <c r="A53" s="10" t="s">
        <v>215</v>
      </c>
      <c r="B53" s="36" t="s">
        <v>169</v>
      </c>
      <c r="C53" s="44" t="n">
        <v>6000</v>
      </c>
      <c r="D53" s="44" t="n">
        <v>2200</v>
      </c>
      <c r="E53" s="44" t="n">
        <v>500</v>
      </c>
      <c r="F53" s="38" t="s">
        <v>216</v>
      </c>
    </row>
    <row r="55" customFormat="false" ht="15" hidden="false" customHeight="false" outlineLevel="0" collapsed="false">
      <c r="A55" s="4" t="s">
        <v>217</v>
      </c>
      <c r="B55" s="5"/>
      <c r="C55" s="5"/>
      <c r="D55" s="5"/>
      <c r="E55" s="5"/>
      <c r="F55" s="5"/>
    </row>
    <row r="56" customFormat="false" ht="15" hidden="false" customHeight="false" outlineLevel="0" collapsed="false">
      <c r="A56" s="16" t="s">
        <v>119</v>
      </c>
      <c r="B56" s="17" t="s">
        <v>120</v>
      </c>
      <c r="C56" s="17" t="s">
        <v>218</v>
      </c>
      <c r="D56" s="17" t="s">
        <v>219</v>
      </c>
      <c r="E56" s="17" t="s">
        <v>220</v>
      </c>
      <c r="F56" s="17" t="s">
        <v>122</v>
      </c>
    </row>
    <row r="57" customFormat="false" ht="22.35" hidden="false" customHeight="false" outlineLevel="0" collapsed="false">
      <c r="A57" s="10" t="s">
        <v>221</v>
      </c>
      <c r="B57" s="36" t="s">
        <v>127</v>
      </c>
      <c r="C57" s="39" t="n">
        <v>0</v>
      </c>
      <c r="D57" s="39" t="n">
        <v>0.22</v>
      </c>
      <c r="E57" s="39" t="n">
        <v>0.35</v>
      </c>
      <c r="F57" s="38" t="s">
        <v>222</v>
      </c>
    </row>
    <row r="58" customFormat="false" ht="22.35" hidden="false" customHeight="false" outlineLevel="0" collapsed="false">
      <c r="A58" s="10" t="s">
        <v>223</v>
      </c>
      <c r="B58" s="36" t="s">
        <v>127</v>
      </c>
      <c r="C58" s="40" t="n">
        <v>1</v>
      </c>
      <c r="D58" s="40" t="n">
        <v>0.3</v>
      </c>
      <c r="E58" s="40" t="n">
        <v>0</v>
      </c>
      <c r="F58" s="38" t="s">
        <v>224</v>
      </c>
    </row>
    <row r="59" customFormat="false" ht="15" hidden="false" customHeight="false" outlineLevel="0" collapsed="false">
      <c r="A59" s="10" t="s">
        <v>225</v>
      </c>
      <c r="B59" s="36" t="s">
        <v>127</v>
      </c>
      <c r="C59" s="40" t="n">
        <v>0.3</v>
      </c>
      <c r="D59" s="40" t="n">
        <v>0.3</v>
      </c>
      <c r="E59" s="40" t="n">
        <v>0.3</v>
      </c>
      <c r="F59" s="38" t="s">
        <v>226</v>
      </c>
    </row>
    <row r="60" customFormat="false" ht="15" hidden="false" customHeight="false" outlineLevel="0" collapsed="false">
      <c r="A60" s="10" t="s">
        <v>227</v>
      </c>
      <c r="B60" s="36" t="s">
        <v>127</v>
      </c>
      <c r="C60" s="40" t="n">
        <v>0.08</v>
      </c>
      <c r="D60" s="40" t="n">
        <v>0.04</v>
      </c>
      <c r="E60" s="40" t="n">
        <v>0.02</v>
      </c>
      <c r="F60" s="38" t="s">
        <v>228</v>
      </c>
    </row>
    <row r="61" customFormat="false" ht="15" hidden="false" customHeight="false" outlineLevel="0" collapsed="false">
      <c r="A61" s="10" t="s">
        <v>229</v>
      </c>
      <c r="B61" s="36" t="s">
        <v>169</v>
      </c>
      <c r="C61" s="44" t="n">
        <v>0</v>
      </c>
      <c r="D61" s="44" t="n">
        <v>15000</v>
      </c>
      <c r="E61" s="44" t="n">
        <v>6000</v>
      </c>
      <c r="F61" s="38" t="s">
        <v>230</v>
      </c>
    </row>
    <row r="62" customFormat="false" ht="15" hidden="false" customHeight="false" outlineLevel="0" collapsed="false">
      <c r="A62" s="10" t="s">
        <v>231</v>
      </c>
      <c r="B62" s="36" t="s">
        <v>137</v>
      </c>
      <c r="C62" s="37" t="n">
        <v>1</v>
      </c>
      <c r="D62" s="37" t="n">
        <v>0.7</v>
      </c>
      <c r="E62" s="37" t="n">
        <v>0.4</v>
      </c>
      <c r="F62" s="38" t="s">
        <v>232</v>
      </c>
    </row>
    <row r="63" customFormat="false" ht="22.35" hidden="false" customHeight="false" outlineLevel="0" collapsed="false">
      <c r="A63" s="10" t="s">
        <v>233</v>
      </c>
      <c r="B63" s="36" t="s">
        <v>234</v>
      </c>
      <c r="C63" s="47" t="n">
        <v>3</v>
      </c>
      <c r="D63" s="47" t="n">
        <v>1.6</v>
      </c>
      <c r="E63" s="47" t="n">
        <v>0.2</v>
      </c>
      <c r="F63" s="38" t="s">
        <v>235</v>
      </c>
    </row>
    <row r="64" customFormat="false" ht="15" hidden="false" customHeight="false" outlineLevel="0" collapsed="false">
      <c r="A64" s="10" t="s">
        <v>236</v>
      </c>
      <c r="B64" s="36" t="s">
        <v>234</v>
      </c>
      <c r="C64" s="47" t="n">
        <v>5</v>
      </c>
      <c r="D64" s="47" t="n">
        <v>4</v>
      </c>
      <c r="E64" s="47" t="n">
        <v>1.5</v>
      </c>
      <c r="F64" s="38" t="s">
        <v>237</v>
      </c>
    </row>
    <row r="65" customFormat="false" ht="15" hidden="false" customHeight="false" outlineLevel="0" collapsed="false">
      <c r="A65" s="10" t="s">
        <v>238</v>
      </c>
      <c r="B65" s="36" t="s">
        <v>234</v>
      </c>
      <c r="C65" s="47" t="n">
        <v>4</v>
      </c>
      <c r="D65" s="47" t="n">
        <v>6</v>
      </c>
      <c r="E65" s="47" t="n">
        <v>4.5</v>
      </c>
      <c r="F65" s="38" t="s">
        <v>239</v>
      </c>
    </row>
    <row r="66" customFormat="false" ht="15" hidden="false" customHeight="false" outlineLevel="0" collapsed="false">
      <c r="A66" s="10" t="s">
        <v>240</v>
      </c>
      <c r="B66" s="36" t="s">
        <v>127</v>
      </c>
      <c r="C66" s="40" t="n">
        <v>0.06</v>
      </c>
      <c r="D66" s="40" t="n">
        <v>0.06</v>
      </c>
      <c r="E66" s="40" t="n">
        <v>0.08</v>
      </c>
      <c r="F66" s="38" t="s">
        <v>241</v>
      </c>
    </row>
    <row r="67" customFormat="false" ht="15" hidden="false" customHeight="false" outlineLevel="0" collapsed="false">
      <c r="A67" s="10" t="s">
        <v>242</v>
      </c>
      <c r="B67" s="36" t="s">
        <v>127</v>
      </c>
      <c r="C67" s="40" t="n">
        <v>0.09</v>
      </c>
      <c r="D67" s="40" t="n">
        <v>0.09</v>
      </c>
      <c r="E67" s="40" t="n">
        <v>0.12</v>
      </c>
      <c r="F67" s="38"/>
    </row>
    <row r="68" customFormat="false" ht="15" hidden="false" customHeight="false" outlineLevel="0" collapsed="false">
      <c r="A68" s="10" t="s">
        <v>243</v>
      </c>
      <c r="B68" s="36" t="s">
        <v>127</v>
      </c>
      <c r="C68" s="40" t="n">
        <v>0.15</v>
      </c>
      <c r="D68" s="40" t="n">
        <v>0.15</v>
      </c>
      <c r="E68" s="40" t="n">
        <v>0.2</v>
      </c>
      <c r="F68" s="38" t="s">
        <v>244</v>
      </c>
    </row>
    <row r="69" customFormat="false" ht="15" hidden="false" customHeight="false" outlineLevel="0" collapsed="false">
      <c r="A69" s="10" t="s">
        <v>245</v>
      </c>
      <c r="B69" s="36" t="s">
        <v>127</v>
      </c>
      <c r="C69" s="39" t="n">
        <v>0.24</v>
      </c>
      <c r="D69" s="39" t="n">
        <v>0.26</v>
      </c>
      <c r="E69" s="39" t="n">
        <v>0.18</v>
      </c>
      <c r="F69" s="38" t="s">
        <v>246</v>
      </c>
    </row>
    <row r="71" customFormat="false" ht="15" hidden="false" customHeight="false" outlineLevel="0" collapsed="false">
      <c r="A71" s="4" t="s">
        <v>247</v>
      </c>
      <c r="B71" s="5"/>
      <c r="C71" s="5"/>
      <c r="D71" s="5"/>
      <c r="E71" s="5"/>
      <c r="F71" s="5"/>
    </row>
    <row r="72" customFormat="false" ht="15" hidden="false" customHeight="false" outlineLevel="0" collapsed="false">
      <c r="A72" s="16" t="s">
        <v>119</v>
      </c>
      <c r="B72" s="17" t="s">
        <v>120</v>
      </c>
      <c r="C72" s="17" t="s">
        <v>248</v>
      </c>
      <c r="D72" s="17"/>
      <c r="E72" s="17"/>
      <c r="F72" s="17" t="s">
        <v>122</v>
      </c>
    </row>
    <row r="73" customFormat="false" ht="15" hidden="false" customHeight="false" outlineLevel="0" collapsed="false">
      <c r="A73" s="10" t="s">
        <v>249</v>
      </c>
      <c r="B73" s="36" t="s">
        <v>250</v>
      </c>
      <c r="C73" s="44" t="n">
        <v>32000</v>
      </c>
      <c r="F73" s="38" t="s">
        <v>251</v>
      </c>
    </row>
    <row r="74" customFormat="false" ht="15" hidden="false" customHeight="false" outlineLevel="0" collapsed="false">
      <c r="A74" s="10" t="s">
        <v>252</v>
      </c>
      <c r="B74" s="36" t="s">
        <v>250</v>
      </c>
      <c r="C74" s="44" t="n">
        <v>9000</v>
      </c>
      <c r="F74" s="38" t="s">
        <v>253</v>
      </c>
    </row>
    <row r="75" customFormat="false" ht="15" hidden="false" customHeight="false" outlineLevel="0" collapsed="false">
      <c r="A75" s="10" t="s">
        <v>254</v>
      </c>
      <c r="B75" s="36" t="s">
        <v>250</v>
      </c>
      <c r="C75" s="44" t="n">
        <v>13000</v>
      </c>
      <c r="F75" s="38" t="s">
        <v>255</v>
      </c>
    </row>
    <row r="76" customFormat="false" ht="15" hidden="false" customHeight="false" outlineLevel="0" collapsed="false">
      <c r="A76" s="10" t="s">
        <v>256</v>
      </c>
      <c r="B76" s="36" t="s">
        <v>250</v>
      </c>
      <c r="C76" s="44" t="n">
        <v>10000</v>
      </c>
      <c r="F76" s="38" t="s">
        <v>257</v>
      </c>
    </row>
    <row r="77" customFormat="false" ht="15" hidden="false" customHeight="false" outlineLevel="0" collapsed="false">
      <c r="A77" s="10" t="s">
        <v>258</v>
      </c>
      <c r="B77" s="36" t="s">
        <v>250</v>
      </c>
      <c r="C77" s="44" t="n">
        <v>8000</v>
      </c>
      <c r="F77" s="38"/>
    </row>
    <row r="78" customFormat="false" ht="15" hidden="false" customHeight="false" outlineLevel="0" collapsed="false">
      <c r="A78" s="10" t="s">
        <v>259</v>
      </c>
      <c r="B78" s="36" t="s">
        <v>250</v>
      </c>
      <c r="C78" s="44" t="n">
        <v>8500</v>
      </c>
      <c r="F78" s="38" t="s">
        <v>260</v>
      </c>
    </row>
    <row r="79" customFormat="false" ht="15" hidden="false" customHeight="false" outlineLevel="0" collapsed="false">
      <c r="A79" s="10" t="s">
        <v>261</v>
      </c>
      <c r="B79" s="36" t="s">
        <v>250</v>
      </c>
      <c r="C79" s="44" t="n">
        <v>30000</v>
      </c>
      <c r="F79" s="38" t="s">
        <v>262</v>
      </c>
    </row>
    <row r="80" customFormat="false" ht="15" hidden="false" customHeight="false" outlineLevel="0" collapsed="false">
      <c r="A80" s="10" t="s">
        <v>263</v>
      </c>
      <c r="B80" s="36" t="s">
        <v>250</v>
      </c>
      <c r="C80" s="44" t="n">
        <v>10000</v>
      </c>
      <c r="F80" s="38" t="s">
        <v>264</v>
      </c>
    </row>
    <row r="82" customFormat="false" ht="15" hidden="false" customHeight="false" outlineLevel="0" collapsed="false">
      <c r="A82" s="4" t="s">
        <v>265</v>
      </c>
      <c r="B82" s="5"/>
      <c r="C82" s="5"/>
      <c r="D82" s="5"/>
      <c r="E82" s="5"/>
      <c r="F82" s="5"/>
    </row>
    <row r="83" customFormat="false" ht="15" hidden="false" customHeight="false" outlineLevel="0" collapsed="false">
      <c r="A83" s="16" t="s">
        <v>119</v>
      </c>
      <c r="B83" s="17" t="s">
        <v>120</v>
      </c>
      <c r="C83" s="17" t="s">
        <v>218</v>
      </c>
      <c r="D83" s="17" t="s">
        <v>219</v>
      </c>
      <c r="E83" s="17" t="s">
        <v>220</v>
      </c>
      <c r="F83" s="17" t="s">
        <v>122</v>
      </c>
    </row>
    <row r="84" customFormat="false" ht="15" hidden="false" customHeight="false" outlineLevel="0" collapsed="false">
      <c r="A84" s="10" t="s">
        <v>266</v>
      </c>
      <c r="B84" s="36" t="s">
        <v>169</v>
      </c>
      <c r="C84" s="44" t="n">
        <v>120000</v>
      </c>
      <c r="D84" s="44" t="n">
        <v>120000</v>
      </c>
      <c r="E84" s="44" t="n">
        <v>100000</v>
      </c>
      <c r="F84" s="38" t="s">
        <v>267</v>
      </c>
    </row>
    <row r="85" customFormat="false" ht="15" hidden="false" customHeight="false" outlineLevel="0" collapsed="false">
      <c r="A85" s="10" t="s">
        <v>268</v>
      </c>
      <c r="B85" s="36" t="s">
        <v>169</v>
      </c>
      <c r="C85" s="44" t="n">
        <v>250000</v>
      </c>
      <c r="D85" s="44" t="n">
        <v>250000</v>
      </c>
      <c r="E85" s="44" t="n">
        <v>200000</v>
      </c>
      <c r="F85" s="38" t="s">
        <v>269</v>
      </c>
    </row>
    <row r="86" customFormat="false" ht="15" hidden="false" customHeight="false" outlineLevel="0" collapsed="false">
      <c r="A86" s="10" t="s">
        <v>270</v>
      </c>
      <c r="B86" s="36" t="s">
        <v>169</v>
      </c>
      <c r="C86" s="44" t="n">
        <v>350000</v>
      </c>
      <c r="D86" s="44" t="n">
        <v>350000</v>
      </c>
      <c r="E86" s="44" t="n">
        <v>300000</v>
      </c>
      <c r="F86" s="38" t="s">
        <v>271</v>
      </c>
    </row>
    <row r="87" customFormat="false" ht="15" hidden="false" customHeight="false" outlineLevel="0" collapsed="false">
      <c r="A87" s="10" t="s">
        <v>272</v>
      </c>
      <c r="B87" s="36" t="s">
        <v>169</v>
      </c>
      <c r="C87" s="44" t="n">
        <v>250000</v>
      </c>
      <c r="D87" s="44" t="n">
        <v>150000</v>
      </c>
      <c r="E87" s="44" t="n">
        <v>100000</v>
      </c>
      <c r="F87" s="38" t="s">
        <v>273</v>
      </c>
    </row>
    <row r="88" customFormat="false" ht="15" hidden="false" customHeight="false" outlineLevel="0" collapsed="false">
      <c r="A88" s="10" t="s">
        <v>274</v>
      </c>
      <c r="B88" s="36" t="s">
        <v>169</v>
      </c>
      <c r="C88" s="44" t="n">
        <v>0</v>
      </c>
      <c r="D88" s="44" t="n">
        <v>120000</v>
      </c>
      <c r="E88" s="44" t="n">
        <v>120000</v>
      </c>
      <c r="F88" s="38"/>
    </row>
    <row r="89" customFormat="false" ht="15" hidden="false" customHeight="false" outlineLevel="0" collapsed="false">
      <c r="A89" s="10" t="s">
        <v>275</v>
      </c>
      <c r="B89" s="36" t="s">
        <v>276</v>
      </c>
      <c r="C89" s="43" t="n">
        <v>12</v>
      </c>
      <c r="D89" s="43" t="n">
        <v>10</v>
      </c>
      <c r="E89" s="43" t="n">
        <v>8</v>
      </c>
      <c r="F89" s="38" t="s">
        <v>277</v>
      </c>
    </row>
    <row r="90" customFormat="false" ht="15" hidden="false" customHeight="false" outlineLevel="0" collapsed="false">
      <c r="A90" s="10" t="s">
        <v>278</v>
      </c>
      <c r="B90" s="36" t="s">
        <v>154</v>
      </c>
      <c r="C90" s="43" t="n">
        <v>6</v>
      </c>
      <c r="F90" s="38" t="s">
        <v>279</v>
      </c>
    </row>
    <row r="92" customFormat="false" ht="15" hidden="false" customHeight="false" outlineLevel="0" collapsed="false">
      <c r="A92" s="4" t="s">
        <v>280</v>
      </c>
      <c r="B92" s="5"/>
      <c r="C92" s="5"/>
      <c r="D92" s="5"/>
      <c r="E92" s="5"/>
      <c r="F92" s="5"/>
    </row>
    <row r="93" customFormat="false" ht="15" hidden="false" customHeight="false" outlineLevel="0" collapsed="false">
      <c r="A93" s="16" t="s">
        <v>119</v>
      </c>
      <c r="B93" s="17" t="s">
        <v>120</v>
      </c>
      <c r="C93" s="17" t="s">
        <v>281</v>
      </c>
      <c r="D93" s="17"/>
      <c r="E93" s="17"/>
      <c r="F93" s="17" t="s">
        <v>122</v>
      </c>
    </row>
    <row r="94" customFormat="false" ht="22.35" hidden="false" customHeight="false" outlineLevel="0" collapsed="false">
      <c r="A94" s="10" t="s">
        <v>282</v>
      </c>
      <c r="B94" s="36" t="s">
        <v>127</v>
      </c>
      <c r="C94" s="39" t="n">
        <v>-0.3</v>
      </c>
      <c r="F94" s="38" t="s">
        <v>283</v>
      </c>
    </row>
    <row r="95" customFormat="false" ht="22.35" hidden="false" customHeight="false" outlineLevel="0" collapsed="false">
      <c r="A95" s="10" t="s">
        <v>284</v>
      </c>
      <c r="B95" s="36" t="s">
        <v>127</v>
      </c>
      <c r="C95" s="39" t="n">
        <v>0.2</v>
      </c>
      <c r="F95" s="38" t="s">
        <v>285</v>
      </c>
    </row>
    <row r="96" customFormat="false" ht="15" hidden="false" customHeight="false" outlineLevel="0" collapsed="false">
      <c r="A96" s="10" t="s">
        <v>286</v>
      </c>
      <c r="B96" s="36" t="s">
        <v>127</v>
      </c>
      <c r="C96" s="39" t="n">
        <v>0.05</v>
      </c>
      <c r="F96" s="38" t="s">
        <v>287</v>
      </c>
    </row>
    <row r="97" customFormat="false" ht="15" hidden="false" customHeight="false" outlineLevel="0" collapsed="false">
      <c r="A97" s="10" t="s">
        <v>288</v>
      </c>
      <c r="B97" s="36" t="s">
        <v>127</v>
      </c>
      <c r="C97" s="39" t="n">
        <v>-0.1</v>
      </c>
      <c r="F97" s="38" t="s">
        <v>289</v>
      </c>
    </row>
    <row r="99" customFormat="false" ht="15" hidden="false" customHeight="false" outlineLevel="0" collapsed="false">
      <c r="A99" s="4" t="s">
        <v>290</v>
      </c>
      <c r="B99" s="5"/>
      <c r="C99" s="5"/>
      <c r="D99" s="5"/>
      <c r="E99" s="5"/>
      <c r="F99" s="5"/>
    </row>
    <row r="100" customFormat="false" ht="15" hidden="false" customHeight="false" outlineLevel="0" collapsed="false">
      <c r="A100" s="16" t="s">
        <v>119</v>
      </c>
      <c r="B100" s="17" t="s">
        <v>120</v>
      </c>
      <c r="C100" s="17" t="s">
        <v>101</v>
      </c>
      <c r="D100" s="17" t="s">
        <v>102</v>
      </c>
      <c r="E100" s="17" t="s">
        <v>103</v>
      </c>
      <c r="F100" s="17" t="s">
        <v>122</v>
      </c>
    </row>
    <row r="101" customFormat="false" ht="15" hidden="false" customHeight="false" outlineLevel="0" collapsed="false">
      <c r="A101" s="10" t="s">
        <v>291</v>
      </c>
      <c r="B101" s="36" t="s">
        <v>292</v>
      </c>
      <c r="C101" s="47" t="n">
        <v>3</v>
      </c>
      <c r="D101" s="47" t="n">
        <v>6</v>
      </c>
      <c r="E101" s="47" t="n">
        <v>9</v>
      </c>
      <c r="F101" s="38" t="s">
        <v>293</v>
      </c>
    </row>
    <row r="102" customFormat="false" ht="15" hidden="false" customHeight="false" outlineLevel="0" collapsed="false">
      <c r="A102" s="10" t="s">
        <v>294</v>
      </c>
      <c r="B102" s="36" t="s">
        <v>276</v>
      </c>
      <c r="C102" s="48" t="n">
        <v>1</v>
      </c>
      <c r="D102" s="48" t="n">
        <v>1</v>
      </c>
      <c r="E102" s="48" t="n">
        <v>1</v>
      </c>
      <c r="F102" s="38"/>
    </row>
    <row r="103" customFormat="false" ht="15" hidden="false" customHeight="false" outlineLevel="0" collapsed="false">
      <c r="A103" s="10" t="s">
        <v>295</v>
      </c>
      <c r="B103" s="36" t="s">
        <v>276</v>
      </c>
      <c r="C103" s="49" t="n">
        <f aca="false">C101</f>
        <v>3</v>
      </c>
      <c r="D103" s="49" t="n">
        <f aca="false">D101</f>
        <v>6</v>
      </c>
      <c r="E103" s="49" t="n">
        <f aca="false">E101</f>
        <v>9</v>
      </c>
      <c r="F103" s="50" t="s">
        <v>296</v>
      </c>
    </row>
    <row r="104" customFormat="false" ht="15" hidden="false" customHeight="false" outlineLevel="0" collapsed="false">
      <c r="A104" s="10" t="s">
        <v>297</v>
      </c>
      <c r="B104" s="36" t="s">
        <v>276</v>
      </c>
      <c r="C104" s="48" t="n">
        <v>0</v>
      </c>
      <c r="D104" s="48" t="n">
        <v>0</v>
      </c>
      <c r="E104" s="48" t="n">
        <v>0</v>
      </c>
      <c r="F104" s="38"/>
    </row>
    <row r="105" customFormat="false" ht="15" hidden="false" customHeight="false" outlineLevel="0" collapsed="false">
      <c r="A105" s="10" t="s">
        <v>298</v>
      </c>
      <c r="B105" s="36" t="s">
        <v>276</v>
      </c>
      <c r="C105" s="48" t="n">
        <v>1</v>
      </c>
      <c r="D105" s="48" t="n">
        <v>3</v>
      </c>
      <c r="E105" s="48" t="n">
        <v>4</v>
      </c>
      <c r="F105" s="38"/>
    </row>
    <row r="106" customFormat="false" ht="15" hidden="false" customHeight="false" outlineLevel="0" collapsed="false">
      <c r="A106" s="10" t="s">
        <v>299</v>
      </c>
      <c r="B106" s="36" t="s">
        <v>276</v>
      </c>
      <c r="C106" s="48" t="n">
        <v>1</v>
      </c>
      <c r="D106" s="48" t="n">
        <v>2</v>
      </c>
      <c r="E106" s="48" t="n">
        <v>3</v>
      </c>
      <c r="F106" s="38"/>
    </row>
    <row r="107" customFormat="false" ht="15" hidden="false" customHeight="false" outlineLevel="0" collapsed="false">
      <c r="A107" s="10" t="s">
        <v>300</v>
      </c>
      <c r="B107" s="36" t="s">
        <v>276</v>
      </c>
      <c r="C107" s="48" t="n">
        <v>1</v>
      </c>
      <c r="D107" s="48" t="n">
        <v>1.5</v>
      </c>
      <c r="E107" s="48" t="n">
        <v>2</v>
      </c>
      <c r="F107" s="38"/>
    </row>
    <row r="108" customFormat="false" ht="15" hidden="false" customHeight="false" outlineLevel="0" collapsed="false">
      <c r="A108" s="10" t="s">
        <v>301</v>
      </c>
      <c r="B108" s="36" t="s">
        <v>276</v>
      </c>
      <c r="C108" s="48" t="n">
        <v>2</v>
      </c>
      <c r="D108" s="48" t="n">
        <v>2</v>
      </c>
      <c r="E108" s="48" t="n">
        <v>2</v>
      </c>
      <c r="F108" s="38" t="s">
        <v>302</v>
      </c>
    </row>
    <row r="109" customFormat="false" ht="15" hidden="false" customHeight="false" outlineLevel="0" collapsed="false">
      <c r="A109" s="10" t="s">
        <v>303</v>
      </c>
      <c r="B109" s="36" t="s">
        <v>276</v>
      </c>
      <c r="C109" s="48" t="n">
        <v>12</v>
      </c>
      <c r="D109" s="48" t="n">
        <v>8</v>
      </c>
      <c r="E109" s="48" t="n">
        <v>6</v>
      </c>
      <c r="F109" s="38" t="s">
        <v>304</v>
      </c>
    </row>
    <row r="110" customFormat="false" ht="15" hidden="false" customHeight="false" outlineLevel="0" collapsed="false">
      <c r="A110" s="10" t="s">
        <v>305</v>
      </c>
      <c r="B110" s="36" t="s">
        <v>169</v>
      </c>
      <c r="C110" s="44" t="n">
        <v>600000</v>
      </c>
      <c r="D110" s="44" t="n">
        <v>900000</v>
      </c>
      <c r="E110" s="44" t="n">
        <v>1200000</v>
      </c>
      <c r="F110" s="38" t="s">
        <v>306</v>
      </c>
    </row>
    <row r="111" customFormat="false" ht="15" hidden="false" customHeight="false" outlineLevel="0" collapsed="false">
      <c r="A111" s="10" t="s">
        <v>307</v>
      </c>
      <c r="B111" s="36" t="s">
        <v>169</v>
      </c>
      <c r="C111" s="44" t="n">
        <v>350000</v>
      </c>
      <c r="D111" s="44" t="n">
        <v>400000</v>
      </c>
      <c r="E111" s="44" t="n">
        <v>450000</v>
      </c>
      <c r="F111" s="38" t="s">
        <v>308</v>
      </c>
    </row>
    <row r="113" customFormat="false" ht="15" hidden="false" customHeight="false" outlineLevel="0" collapsed="false">
      <c r="A113" s="4" t="s">
        <v>309</v>
      </c>
      <c r="B113" s="5"/>
      <c r="C113" s="5"/>
      <c r="D113" s="5"/>
      <c r="E113" s="5"/>
      <c r="F113" s="5"/>
    </row>
    <row r="114" customFormat="false" ht="15" hidden="false" customHeight="false" outlineLevel="0" collapsed="false">
      <c r="A114" s="16" t="s">
        <v>119</v>
      </c>
      <c r="B114" s="17" t="s">
        <v>120</v>
      </c>
      <c r="C114" s="17" t="s">
        <v>101</v>
      </c>
      <c r="D114" s="17" t="s">
        <v>102</v>
      </c>
      <c r="E114" s="17" t="s">
        <v>103</v>
      </c>
      <c r="F114" s="17" t="s">
        <v>122</v>
      </c>
    </row>
    <row r="115" customFormat="false" ht="15" hidden="false" customHeight="false" outlineLevel="0" collapsed="false">
      <c r="A115" s="10" t="s">
        <v>310</v>
      </c>
      <c r="B115" s="36" t="s">
        <v>292</v>
      </c>
      <c r="C115" s="47" t="n">
        <v>4</v>
      </c>
      <c r="D115" s="47" t="n">
        <v>9</v>
      </c>
      <c r="E115" s="47" t="n">
        <v>14</v>
      </c>
      <c r="F115" s="38" t="s">
        <v>293</v>
      </c>
    </row>
    <row r="116" customFormat="false" ht="15" hidden="false" customHeight="false" outlineLevel="0" collapsed="false">
      <c r="A116" s="10" t="s">
        <v>294</v>
      </c>
      <c r="B116" s="36" t="s">
        <v>276</v>
      </c>
      <c r="C116" s="48" t="n">
        <v>1</v>
      </c>
      <c r="D116" s="48" t="n">
        <v>1</v>
      </c>
      <c r="E116" s="48" t="n">
        <v>1</v>
      </c>
      <c r="F116" s="38"/>
    </row>
    <row r="117" customFormat="false" ht="15" hidden="false" customHeight="false" outlineLevel="0" collapsed="false">
      <c r="A117" s="10" t="s">
        <v>295</v>
      </c>
      <c r="B117" s="36" t="s">
        <v>276</v>
      </c>
      <c r="C117" s="48" t="n">
        <v>0</v>
      </c>
      <c r="D117" s="48" t="n">
        <v>0</v>
      </c>
      <c r="E117" s="48" t="n">
        <v>0</v>
      </c>
      <c r="F117" s="38" t="s">
        <v>311</v>
      </c>
    </row>
    <row r="118" customFormat="false" ht="15" hidden="false" customHeight="false" outlineLevel="0" collapsed="false">
      <c r="A118" s="10" t="s">
        <v>297</v>
      </c>
      <c r="B118" s="36" t="s">
        <v>276</v>
      </c>
      <c r="C118" s="48" t="n">
        <v>2</v>
      </c>
      <c r="D118" s="48" t="n">
        <v>3</v>
      </c>
      <c r="E118" s="48" t="n">
        <v>4</v>
      </c>
      <c r="F118" s="38"/>
    </row>
    <row r="119" customFormat="false" ht="15" hidden="false" customHeight="false" outlineLevel="0" collapsed="false">
      <c r="A119" s="10" t="s">
        <v>298</v>
      </c>
      <c r="B119" s="36" t="s">
        <v>276</v>
      </c>
      <c r="C119" s="48" t="n">
        <v>1</v>
      </c>
      <c r="D119" s="48" t="n">
        <v>2</v>
      </c>
      <c r="E119" s="48" t="n">
        <v>3</v>
      </c>
      <c r="F119" s="38"/>
    </row>
    <row r="120" customFormat="false" ht="15" hidden="false" customHeight="false" outlineLevel="0" collapsed="false">
      <c r="A120" s="10" t="s">
        <v>299</v>
      </c>
      <c r="B120" s="36" t="s">
        <v>276</v>
      </c>
      <c r="C120" s="48" t="n">
        <v>1</v>
      </c>
      <c r="D120" s="48" t="n">
        <v>2</v>
      </c>
      <c r="E120" s="48" t="n">
        <v>2</v>
      </c>
      <c r="F120" s="38"/>
    </row>
    <row r="121" customFormat="false" ht="15" hidden="false" customHeight="false" outlineLevel="0" collapsed="false">
      <c r="A121" s="10" t="s">
        <v>300</v>
      </c>
      <c r="B121" s="36" t="s">
        <v>276</v>
      </c>
      <c r="C121" s="48" t="n">
        <v>1</v>
      </c>
      <c r="D121" s="48" t="n">
        <v>1</v>
      </c>
      <c r="E121" s="48" t="n">
        <v>1.5</v>
      </c>
      <c r="F121" s="38"/>
    </row>
    <row r="122" customFormat="false" ht="15" hidden="false" customHeight="false" outlineLevel="0" collapsed="false">
      <c r="A122" s="10" t="s">
        <v>301</v>
      </c>
      <c r="B122" s="36" t="s">
        <v>276</v>
      </c>
      <c r="C122" s="48" t="n">
        <v>1</v>
      </c>
      <c r="D122" s="48" t="n">
        <v>1</v>
      </c>
      <c r="E122" s="48" t="n">
        <v>1</v>
      </c>
      <c r="F122" s="38" t="s">
        <v>302</v>
      </c>
    </row>
    <row r="123" customFormat="false" ht="15" hidden="false" customHeight="false" outlineLevel="0" collapsed="false">
      <c r="A123" s="10" t="s">
        <v>303</v>
      </c>
      <c r="B123" s="36" t="s">
        <v>276</v>
      </c>
      <c r="C123" s="48" t="n">
        <v>10</v>
      </c>
      <c r="D123" s="48" t="n">
        <v>7</v>
      </c>
      <c r="E123" s="48" t="n">
        <v>5</v>
      </c>
      <c r="F123" s="38" t="s">
        <v>304</v>
      </c>
    </row>
    <row r="124" customFormat="false" ht="15" hidden="false" customHeight="false" outlineLevel="0" collapsed="false">
      <c r="A124" s="10" t="s">
        <v>305</v>
      </c>
      <c r="B124" s="36" t="s">
        <v>169</v>
      </c>
      <c r="C124" s="44" t="n">
        <v>450000</v>
      </c>
      <c r="D124" s="44" t="n">
        <v>700000</v>
      </c>
      <c r="E124" s="44" t="n">
        <v>900000</v>
      </c>
      <c r="F124" s="38" t="s">
        <v>306</v>
      </c>
    </row>
    <row r="125" customFormat="false" ht="15" hidden="false" customHeight="false" outlineLevel="0" collapsed="false">
      <c r="A125" s="10" t="s">
        <v>307</v>
      </c>
      <c r="B125" s="36" t="s">
        <v>169</v>
      </c>
      <c r="C125" s="44" t="n">
        <v>280000</v>
      </c>
      <c r="D125" s="44" t="n">
        <v>320000</v>
      </c>
      <c r="E125" s="44" t="n">
        <v>360000</v>
      </c>
      <c r="F125" s="38" t="s">
        <v>308</v>
      </c>
    </row>
    <row r="127" customFormat="false" ht="15" hidden="false" customHeight="false" outlineLevel="0" collapsed="false">
      <c r="A127" s="4" t="s">
        <v>312</v>
      </c>
      <c r="B127" s="5"/>
      <c r="C127" s="5"/>
      <c r="D127" s="5"/>
      <c r="E127" s="5"/>
      <c r="F127" s="5"/>
    </row>
    <row r="128" customFormat="false" ht="15" hidden="false" customHeight="false" outlineLevel="0" collapsed="false">
      <c r="A128" s="16" t="s">
        <v>119</v>
      </c>
      <c r="B128" s="17" t="s">
        <v>120</v>
      </c>
      <c r="C128" s="17" t="s">
        <v>101</v>
      </c>
      <c r="D128" s="17" t="s">
        <v>102</v>
      </c>
      <c r="E128" s="17" t="s">
        <v>103</v>
      </c>
      <c r="F128" s="17" t="s">
        <v>122</v>
      </c>
    </row>
    <row r="129" customFormat="false" ht="15" hidden="false" customHeight="false" outlineLevel="0" collapsed="false">
      <c r="A129" s="10" t="s">
        <v>313</v>
      </c>
      <c r="B129" s="36" t="s">
        <v>292</v>
      </c>
      <c r="C129" s="47" t="n">
        <v>8</v>
      </c>
      <c r="D129" s="47" t="n">
        <v>20</v>
      </c>
      <c r="E129" s="47" t="n">
        <v>35</v>
      </c>
      <c r="F129" s="38" t="s">
        <v>293</v>
      </c>
    </row>
    <row r="130" customFormat="false" ht="15" hidden="false" customHeight="false" outlineLevel="0" collapsed="false">
      <c r="A130" s="10" t="s">
        <v>294</v>
      </c>
      <c r="B130" s="36" t="s">
        <v>276</v>
      </c>
      <c r="C130" s="48" t="n">
        <v>1</v>
      </c>
      <c r="D130" s="48" t="n">
        <v>1</v>
      </c>
      <c r="E130" s="48" t="n">
        <v>1</v>
      </c>
      <c r="F130" s="38"/>
    </row>
    <row r="131" customFormat="false" ht="15" hidden="false" customHeight="false" outlineLevel="0" collapsed="false">
      <c r="A131" s="10" t="s">
        <v>295</v>
      </c>
      <c r="B131" s="36" t="s">
        <v>276</v>
      </c>
      <c r="C131" s="48" t="n">
        <v>0</v>
      </c>
      <c r="D131" s="48" t="n">
        <v>0</v>
      </c>
      <c r="E131" s="48" t="n">
        <v>0</v>
      </c>
      <c r="F131" s="38" t="s">
        <v>311</v>
      </c>
    </row>
    <row r="132" customFormat="false" ht="15" hidden="false" customHeight="false" outlineLevel="0" collapsed="false">
      <c r="A132" s="10" t="s">
        <v>297</v>
      </c>
      <c r="B132" s="36" t="s">
        <v>276</v>
      </c>
      <c r="C132" s="48" t="n">
        <v>1</v>
      </c>
      <c r="D132" s="48" t="n">
        <v>2</v>
      </c>
      <c r="E132" s="48" t="n">
        <v>2</v>
      </c>
      <c r="F132" s="38"/>
    </row>
    <row r="133" customFormat="false" ht="15" hidden="false" customHeight="false" outlineLevel="0" collapsed="false">
      <c r="A133" s="10" t="s">
        <v>298</v>
      </c>
      <c r="B133" s="36" t="s">
        <v>276</v>
      </c>
      <c r="C133" s="48" t="n">
        <v>1</v>
      </c>
      <c r="D133" s="48" t="n">
        <v>1</v>
      </c>
      <c r="E133" s="48" t="n">
        <v>2</v>
      </c>
      <c r="F133" s="38"/>
    </row>
    <row r="134" customFormat="false" ht="15" hidden="false" customHeight="false" outlineLevel="0" collapsed="false">
      <c r="A134" s="10" t="s">
        <v>299</v>
      </c>
      <c r="B134" s="36" t="s">
        <v>276</v>
      </c>
      <c r="C134" s="48" t="n">
        <v>1</v>
      </c>
      <c r="D134" s="48" t="n">
        <v>1</v>
      </c>
      <c r="E134" s="48" t="n">
        <v>1</v>
      </c>
      <c r="F134" s="38"/>
    </row>
    <row r="135" customFormat="false" ht="15" hidden="false" customHeight="false" outlineLevel="0" collapsed="false">
      <c r="A135" s="10" t="s">
        <v>300</v>
      </c>
      <c r="B135" s="36" t="s">
        <v>276</v>
      </c>
      <c r="C135" s="48" t="n">
        <v>0.5</v>
      </c>
      <c r="D135" s="48" t="n">
        <v>1</v>
      </c>
      <c r="E135" s="48" t="n">
        <v>1</v>
      </c>
      <c r="F135" s="38"/>
    </row>
    <row r="136" customFormat="false" ht="15" hidden="false" customHeight="false" outlineLevel="0" collapsed="false">
      <c r="A136" s="10" t="s">
        <v>301</v>
      </c>
      <c r="B136" s="36" t="s">
        <v>276</v>
      </c>
      <c r="C136" s="48" t="n">
        <v>1</v>
      </c>
      <c r="D136" s="48" t="n">
        <v>1</v>
      </c>
      <c r="E136" s="48" t="n">
        <v>0</v>
      </c>
      <c r="F136" s="38" t="s">
        <v>302</v>
      </c>
    </row>
    <row r="137" customFormat="false" ht="15" hidden="false" customHeight="false" outlineLevel="0" collapsed="false">
      <c r="A137" s="10" t="s">
        <v>303</v>
      </c>
      <c r="B137" s="36" t="s">
        <v>276</v>
      </c>
      <c r="C137" s="48" t="n">
        <v>8</v>
      </c>
      <c r="D137" s="48" t="n">
        <v>5</v>
      </c>
      <c r="E137" s="48" t="n">
        <v>4</v>
      </c>
      <c r="F137" s="38" t="s">
        <v>304</v>
      </c>
    </row>
    <row r="138" customFormat="false" ht="15" hidden="false" customHeight="false" outlineLevel="0" collapsed="false">
      <c r="A138" s="10" t="s">
        <v>305</v>
      </c>
      <c r="B138" s="36" t="s">
        <v>169</v>
      </c>
      <c r="C138" s="44" t="n">
        <v>300000</v>
      </c>
      <c r="D138" s="44" t="n">
        <v>400000</v>
      </c>
      <c r="E138" s="44" t="n">
        <v>500000</v>
      </c>
      <c r="F138" s="38" t="s">
        <v>306</v>
      </c>
    </row>
    <row r="139" customFormat="false" ht="15" hidden="false" customHeight="false" outlineLevel="0" collapsed="false">
      <c r="A139" s="10" t="s">
        <v>307</v>
      </c>
      <c r="B139" s="36" t="s">
        <v>169</v>
      </c>
      <c r="C139" s="44" t="n">
        <v>220000</v>
      </c>
      <c r="D139" s="44" t="n">
        <v>250000</v>
      </c>
      <c r="E139" s="44" t="n">
        <v>280000</v>
      </c>
      <c r="F139" s="38" t="s">
        <v>308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M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5" min="3" style="0" width="14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9" min="8" style="0" width="13"/>
    <col collapsed="false" customWidth="true" hidden="false" outlineLevel="0" max="10" min="10" style="0" width="14"/>
    <col collapsed="false" customWidth="true" hidden="false" outlineLevel="0" max="11" min="11" style="0" width="13"/>
    <col collapsed="false" customWidth="true" hidden="false" outlineLevel="0" max="12" min="12" style="0" width="15"/>
    <col collapsed="false" customWidth="true" hidden="false" outlineLevel="0" max="13" min="13" style="0" width="70"/>
  </cols>
  <sheetData>
    <row r="1" customFormat="false" ht="17.35" hidden="false" customHeight="false" outlineLevel="0" collapsed="false">
      <c r="A1" s="13" t="s">
        <v>314</v>
      </c>
    </row>
    <row r="2" customFormat="false" ht="15" hidden="false" customHeight="false" outlineLevel="0" collapsed="false">
      <c r="A2" s="14" t="s">
        <v>315</v>
      </c>
    </row>
    <row r="4" customFormat="false" ht="15" hidden="false" customHeight="false" outlineLevel="0" collapsed="false">
      <c r="A4" s="4" t="s">
        <v>316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customFormat="false" ht="15" hidden="false" customHeight="false" outlineLevel="0" collapsed="false">
      <c r="A5" s="16" t="s">
        <v>317</v>
      </c>
      <c r="B5" s="17" t="s">
        <v>318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 t="s">
        <v>319</v>
      </c>
    </row>
    <row r="6" customFormat="false" ht="15" hidden="false" customHeight="false" outlineLevel="0" collapsed="false">
      <c r="A6" s="10" t="s">
        <v>320</v>
      </c>
      <c r="B6" s="44" t="n">
        <v>767421</v>
      </c>
      <c r="M6" s="51" t="s">
        <v>321</v>
      </c>
    </row>
    <row r="7" customFormat="false" ht="15" hidden="false" customHeight="false" outlineLevel="0" collapsed="false">
      <c r="A7" s="10" t="s">
        <v>322</v>
      </c>
      <c r="B7" s="44" t="n">
        <v>314465</v>
      </c>
      <c r="M7" s="51" t="s">
        <v>323</v>
      </c>
    </row>
    <row r="8" customFormat="false" ht="15" hidden="false" customHeight="false" outlineLevel="0" collapsed="false">
      <c r="A8" s="10" t="s">
        <v>324</v>
      </c>
      <c r="B8" s="44" t="n">
        <v>19839</v>
      </c>
      <c r="M8" s="51" t="s">
        <v>325</v>
      </c>
    </row>
    <row r="9" customFormat="false" ht="15" hidden="false" customHeight="false" outlineLevel="0" collapsed="false">
      <c r="A9" s="7" t="s">
        <v>326</v>
      </c>
      <c r="B9" s="52" t="n">
        <f aca="false">SUM(B6:B8)</f>
        <v>1101725</v>
      </c>
      <c r="M9" s="51" t="s">
        <v>327</v>
      </c>
    </row>
    <row r="10" customFormat="false" ht="15" hidden="false" customHeight="false" outlineLevel="0" collapsed="false">
      <c r="A10" s="10" t="s">
        <v>328</v>
      </c>
      <c r="B10" s="40" t="n">
        <v>0.969</v>
      </c>
      <c r="M10" s="51" t="s">
        <v>329</v>
      </c>
    </row>
    <row r="11" customFormat="false" ht="15" hidden="false" customHeight="false" outlineLevel="0" collapsed="false">
      <c r="A11" s="10" t="s">
        <v>330</v>
      </c>
      <c r="B11" s="53" t="n">
        <f aca="false">B9/B10</f>
        <v>1136971.10423117</v>
      </c>
    </row>
    <row r="12" customFormat="false" ht="15" hidden="false" customHeight="false" outlineLevel="0" collapsed="false">
      <c r="A12" s="10" t="s">
        <v>331</v>
      </c>
      <c r="B12" s="53" t="n">
        <f aca="false">B11-B9</f>
        <v>35246.1042311662</v>
      </c>
      <c r="M12" s="51" t="s">
        <v>332</v>
      </c>
    </row>
    <row r="13" customFormat="false" ht="15" hidden="false" customHeight="false" outlineLevel="0" collapsed="false">
      <c r="A13" s="10" t="s">
        <v>333</v>
      </c>
      <c r="B13" s="40" t="n">
        <v>0.024</v>
      </c>
      <c r="M13" s="51" t="s">
        <v>334</v>
      </c>
    </row>
    <row r="14" customFormat="false" ht="15" hidden="false" customHeight="false" outlineLevel="0" collapsed="false">
      <c r="A14" s="10" t="s">
        <v>335</v>
      </c>
      <c r="B14" s="43" t="n">
        <v>3</v>
      </c>
    </row>
    <row r="15" customFormat="false" ht="15" hidden="false" customHeight="false" outlineLevel="0" collapsed="false">
      <c r="A15" s="10" t="s">
        <v>336</v>
      </c>
      <c r="B15" s="54" t="n">
        <f aca="false">(1+B13)^B14</f>
        <v>1.073741824</v>
      </c>
    </row>
    <row r="16" customFormat="false" ht="22.35" hidden="false" customHeight="false" outlineLevel="0" collapsed="false">
      <c r="A16" s="10" t="s">
        <v>337</v>
      </c>
      <c r="B16" s="39" t="n">
        <v>0.55</v>
      </c>
      <c r="M16" s="51" t="s">
        <v>338</v>
      </c>
    </row>
    <row r="18" customFormat="false" ht="15" hidden="false" customHeight="false" outlineLevel="0" collapsed="false">
      <c r="A18" s="4" t="s">
        <v>339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48" hidden="false" customHeight="true" outlineLevel="0" collapsed="false">
      <c r="A19" s="16" t="s">
        <v>317</v>
      </c>
      <c r="B19" s="17" t="s">
        <v>340</v>
      </c>
      <c r="C19" s="17" t="s">
        <v>341</v>
      </c>
      <c r="D19" s="17" t="s">
        <v>342</v>
      </c>
      <c r="E19" s="17" t="s">
        <v>343</v>
      </c>
      <c r="F19" s="17" t="s">
        <v>344</v>
      </c>
      <c r="G19" s="17" t="s">
        <v>345</v>
      </c>
      <c r="H19" s="17" t="s">
        <v>346</v>
      </c>
      <c r="I19" s="17" t="s">
        <v>347</v>
      </c>
      <c r="J19" s="17" t="s">
        <v>348</v>
      </c>
      <c r="K19" s="17" t="s">
        <v>349</v>
      </c>
      <c r="L19" s="17" t="s">
        <v>350</v>
      </c>
      <c r="M19" s="17" t="s">
        <v>351</v>
      </c>
    </row>
    <row r="20" customFormat="false" ht="39.75" hidden="false" customHeight="true" outlineLevel="0" collapsed="false">
      <c r="A20" s="10" t="s">
        <v>352</v>
      </c>
      <c r="B20" s="53" t="n">
        <f aca="false">$B$12*$B$15</f>
        <v>37845.2162460665</v>
      </c>
      <c r="C20" s="40" t="n">
        <v>0.45</v>
      </c>
      <c r="D20" s="40" t="n">
        <v>0.2</v>
      </c>
      <c r="E20" s="53" t="n">
        <f aca="false">B20*C20*D20</f>
        <v>3406.06946214599</v>
      </c>
      <c r="F20" s="55" t="n">
        <f aca="false">Assumptions!$C$51</f>
        <v>65000</v>
      </c>
      <c r="G20" s="49" t="n">
        <f aca="false">E20*F20/1000000</f>
        <v>221.394515039489</v>
      </c>
      <c r="H20" s="40" t="n">
        <v>0.35</v>
      </c>
      <c r="I20" s="46" t="n">
        <f aca="false">$B$16</f>
        <v>0.55</v>
      </c>
      <c r="J20" s="49" t="n">
        <f aca="false">G20*H20*I20</f>
        <v>42.6184441451017</v>
      </c>
      <c r="K20" s="40" t="n">
        <v>0.12</v>
      </c>
      <c r="L20" s="49" t="n">
        <f aca="false">J20*K20</f>
        <v>5.1142132974122</v>
      </c>
      <c r="M20" s="51" t="s">
        <v>353</v>
      </c>
    </row>
    <row r="21" customFormat="false" ht="39.75" hidden="false" customHeight="true" outlineLevel="0" collapsed="false">
      <c r="A21" s="10" t="s">
        <v>324</v>
      </c>
      <c r="B21" s="53" t="n">
        <f aca="false">B8*$B$15</f>
        <v>21301.964046336</v>
      </c>
      <c r="C21" s="40" t="n">
        <v>0.6</v>
      </c>
      <c r="D21" s="40" t="n">
        <v>0.7</v>
      </c>
      <c r="E21" s="53" t="n">
        <f aca="false">B21*C21*D21</f>
        <v>8946.82489946112</v>
      </c>
      <c r="F21" s="55" t="n">
        <f aca="false">Assumptions!$C$51</f>
        <v>65000</v>
      </c>
      <c r="G21" s="49" t="n">
        <f aca="false">E21*F21/1000000</f>
        <v>581.543618464973</v>
      </c>
      <c r="H21" s="40" t="n">
        <v>0.7</v>
      </c>
      <c r="I21" s="46" t="n">
        <f aca="false">$B$16</f>
        <v>0.55</v>
      </c>
      <c r="J21" s="49" t="n">
        <f aca="false">G21*H21*I21</f>
        <v>223.894293109015</v>
      </c>
      <c r="K21" s="40" t="n">
        <v>0.12</v>
      </c>
      <c r="L21" s="49" t="n">
        <f aca="false">J21*K21</f>
        <v>26.8673151730817</v>
      </c>
      <c r="M21" s="51" t="s">
        <v>354</v>
      </c>
    </row>
    <row r="22" customFormat="false" ht="39.75" hidden="false" customHeight="true" outlineLevel="0" collapsed="false">
      <c r="A22" s="10" t="s">
        <v>322</v>
      </c>
      <c r="B22" s="53" t="n">
        <f aca="false">B7*$B$15</f>
        <v>337654.22268416</v>
      </c>
      <c r="C22" s="40" t="n">
        <v>0.45</v>
      </c>
      <c r="D22" s="40" t="n">
        <v>0.18</v>
      </c>
      <c r="E22" s="53" t="n">
        <f aca="false">B22*C22*D22</f>
        <v>27349.992037417</v>
      </c>
      <c r="F22" s="55" t="n">
        <f aca="false">Assumptions!$D$51</f>
        <v>22000</v>
      </c>
      <c r="G22" s="49" t="n">
        <f aca="false">E22*F22/1000000</f>
        <v>601.699824823173</v>
      </c>
      <c r="H22" s="40" t="n">
        <v>0.6</v>
      </c>
      <c r="I22" s="46" t="n">
        <f aca="false">$B$16</f>
        <v>0.55</v>
      </c>
      <c r="J22" s="49" t="n">
        <f aca="false">G22*H22*I22</f>
        <v>198.560942191647</v>
      </c>
      <c r="K22" s="40" t="n">
        <v>0.12</v>
      </c>
      <c r="L22" s="49" t="n">
        <f aca="false">J22*K22</f>
        <v>23.8273130629977</v>
      </c>
      <c r="M22" s="51" t="s">
        <v>355</v>
      </c>
    </row>
    <row r="23" customFormat="false" ht="39.75" hidden="false" customHeight="true" outlineLevel="0" collapsed="false">
      <c r="A23" s="10" t="s">
        <v>320</v>
      </c>
      <c r="B23" s="53" t="n">
        <f aca="false">B6*$B$15</f>
        <v>824012.024315904</v>
      </c>
      <c r="C23" s="40" t="n">
        <v>0.3</v>
      </c>
      <c r="D23" s="40" t="n">
        <v>0.04</v>
      </c>
      <c r="E23" s="53" t="n">
        <f aca="false">B23*C23*D23</f>
        <v>9888.14429179085</v>
      </c>
      <c r="F23" s="55" t="n">
        <f aca="false">Assumptions!$E$51</f>
        <v>4800</v>
      </c>
      <c r="G23" s="49" t="n">
        <f aca="false">E23*F23/1000000</f>
        <v>47.4630926005961</v>
      </c>
      <c r="H23" s="40" t="n">
        <v>0.5</v>
      </c>
      <c r="I23" s="46" t="n">
        <f aca="false">$B$16</f>
        <v>0.55</v>
      </c>
      <c r="J23" s="49" t="n">
        <f aca="false">G23*H23*I23</f>
        <v>13.0523504651639</v>
      </c>
      <c r="K23" s="40" t="n">
        <v>0.12</v>
      </c>
      <c r="L23" s="49" t="n">
        <f aca="false">J23*K23</f>
        <v>1.56628205581967</v>
      </c>
      <c r="M23" s="51" t="s">
        <v>356</v>
      </c>
    </row>
    <row r="24" customFormat="false" ht="15" hidden="false" customHeight="false" outlineLevel="0" collapsed="false">
      <c r="A24" s="56" t="s">
        <v>357</v>
      </c>
      <c r="B24" s="57" t="n">
        <f aca="false">SUM(B20:B23)</f>
        <v>1220813.42729247</v>
      </c>
      <c r="E24" s="57" t="n">
        <f aca="false">SUM(E20:E23)</f>
        <v>49591.0306908149</v>
      </c>
      <c r="G24" s="58" t="n">
        <f aca="false">SUM(G20:G23)</f>
        <v>1452.10105092823</v>
      </c>
      <c r="J24" s="58" t="n">
        <f aca="false">SUM(J20:J23)</f>
        <v>478.126029910927</v>
      </c>
      <c r="L24" s="58" t="n">
        <f aca="false">SUM(L20:L23)</f>
        <v>57.3751235893113</v>
      </c>
    </row>
    <row r="26" customFormat="false" ht="15" hidden="false" customHeight="false" outlineLevel="0" collapsed="false">
      <c r="A26" s="4" t="s">
        <v>358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customFormat="false" ht="15" hidden="false" customHeight="false" outlineLevel="0" collapsed="false">
      <c r="A27" s="16" t="s">
        <v>63</v>
      </c>
      <c r="B27" s="17" t="s">
        <v>359</v>
      </c>
      <c r="C27" s="17" t="s">
        <v>360</v>
      </c>
      <c r="D27" s="17" t="s">
        <v>361</v>
      </c>
      <c r="E27" s="17" t="s">
        <v>362</v>
      </c>
      <c r="F27" s="17"/>
      <c r="G27" s="17"/>
      <c r="H27" s="17"/>
      <c r="I27" s="17"/>
      <c r="J27" s="17"/>
      <c r="K27" s="17"/>
      <c r="L27" s="17"/>
      <c r="M27" s="17" t="s">
        <v>363</v>
      </c>
    </row>
    <row r="28" customFormat="false" ht="32.8" hidden="false" customHeight="false" outlineLevel="0" collapsed="false">
      <c r="A28" s="10" t="s">
        <v>364</v>
      </c>
      <c r="B28" s="39" t="n">
        <v>0.09</v>
      </c>
      <c r="M28" s="51" t="s">
        <v>365</v>
      </c>
    </row>
    <row r="29" customFormat="false" ht="15" hidden="false" customHeight="false" outlineLevel="0" collapsed="false">
      <c r="A29" s="10" t="s">
        <v>345</v>
      </c>
      <c r="B29" s="49" t="n">
        <f aca="false">G24</f>
        <v>1452.10105092823</v>
      </c>
      <c r="C29" s="49" t="n">
        <f aca="false">B29*(1+$B$28)</f>
        <v>1582.79014551177</v>
      </c>
      <c r="D29" s="49" t="n">
        <f aca="false">C29*(1+$B$28)</f>
        <v>1725.24125860783</v>
      </c>
      <c r="E29" s="49" t="n">
        <f aca="false">D29*(1+$B$28)</f>
        <v>1880.51297188254</v>
      </c>
    </row>
    <row r="30" customFormat="false" ht="15" hidden="false" customHeight="false" outlineLevel="0" collapsed="false">
      <c r="A30" s="10" t="s">
        <v>348</v>
      </c>
      <c r="B30" s="49" t="n">
        <f aca="false">J24</f>
        <v>478.126029910927</v>
      </c>
      <c r="C30" s="49" t="n">
        <f aca="false">B30*(1+$B$28)</f>
        <v>521.157372602911</v>
      </c>
      <c r="D30" s="49" t="n">
        <f aca="false">C30*(1+$B$28)</f>
        <v>568.061536137173</v>
      </c>
      <c r="E30" s="49" t="n">
        <f aca="false">D30*(1+$B$28)</f>
        <v>619.187074389518</v>
      </c>
    </row>
    <row r="31" customFormat="false" ht="15" hidden="false" customHeight="false" outlineLevel="0" collapsed="false">
      <c r="A31" s="10" t="s">
        <v>350</v>
      </c>
      <c r="B31" s="49" t="n">
        <f aca="false">L24</f>
        <v>57.3751235893113</v>
      </c>
      <c r="C31" s="49" t="n">
        <f aca="false">B31*(1+$B$28)</f>
        <v>62.5388847123493</v>
      </c>
      <c r="D31" s="49" t="n">
        <f aca="false">C31*(1+$B$28)</f>
        <v>68.1673843364607</v>
      </c>
      <c r="E31" s="49" t="n">
        <f aca="false">D31*(1+$B$28)</f>
        <v>74.3024489267422</v>
      </c>
    </row>
    <row r="32" customFormat="false" ht="15" hidden="false" customHeight="false" outlineLevel="0" collapsed="false">
      <c r="A32" s="7" t="s">
        <v>366</v>
      </c>
      <c r="B32" s="58" t="n">
        <f aca="false">SUM(C31:E31)</f>
        <v>205.008717975552</v>
      </c>
    </row>
    <row r="34" customFormat="false" ht="15" hidden="false" customHeight="false" outlineLevel="0" collapsed="false">
      <c r="A34" s="4" t="s">
        <v>367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customFormat="false" ht="23.85" hidden="false" customHeight="false" outlineLevel="0" collapsed="false">
      <c r="A35" s="16" t="s">
        <v>63</v>
      </c>
      <c r="B35" s="17" t="s">
        <v>64</v>
      </c>
      <c r="C35" s="17" t="s">
        <v>65</v>
      </c>
      <c r="D35" s="17" t="s">
        <v>66</v>
      </c>
      <c r="E35" s="17" t="s">
        <v>368</v>
      </c>
      <c r="F35" s="17"/>
      <c r="G35" s="17"/>
      <c r="H35" s="17"/>
      <c r="I35" s="17"/>
      <c r="J35" s="17"/>
      <c r="K35" s="17"/>
      <c r="L35" s="17"/>
      <c r="M35" s="17" t="s">
        <v>363</v>
      </c>
    </row>
    <row r="36" customFormat="false" ht="15" hidden="false" customHeight="false" outlineLevel="0" collapsed="false">
      <c r="A36" s="10" t="s">
        <v>369</v>
      </c>
      <c r="B36" s="33" t="n">
        <f aca="false">Model_A_Direct!$C$134/1000000</f>
        <v>6.24422720963115</v>
      </c>
      <c r="C36" s="33" t="n">
        <f aca="false">Model_B_Partner!$C$134/1000000</f>
        <v>4.96396321628598</v>
      </c>
      <c r="D36" s="33" t="n">
        <f aca="false">Model_C_Distributor!$C$134/1000000</f>
        <v>2.87852083606591</v>
      </c>
      <c r="E36" s="33" t="n">
        <f aca="false">Model_B_Plus!$C$134/1000000</f>
        <v>6.25459365252034</v>
      </c>
    </row>
    <row r="37" customFormat="false" ht="22.35" hidden="false" customHeight="false" outlineLevel="0" collapsed="false">
      <c r="A37" s="10" t="s">
        <v>370</v>
      </c>
      <c r="B37" s="46" t="n">
        <f aca="false">B36/$E$30</f>
        <v>0.0100845567808204</v>
      </c>
      <c r="C37" s="46" t="n">
        <f aca="false">C36/$E$30</f>
        <v>0.0080169038108235</v>
      </c>
      <c r="D37" s="46" t="n">
        <f aca="false">D36/$E$30</f>
        <v>0.00464887100381409</v>
      </c>
      <c r="E37" s="46" t="n">
        <f aca="false">E36/$E$30</f>
        <v>0.0101012988016376</v>
      </c>
      <c r="M37" s="51" t="s">
        <v>371</v>
      </c>
    </row>
    <row r="38" customFormat="false" ht="15" hidden="false" customHeight="false" outlineLevel="0" collapsed="false">
      <c r="A38" s="10" t="s">
        <v>372</v>
      </c>
      <c r="B38" s="46" t="n">
        <f aca="false">B36/$B$32</f>
        <v>0.0304583496316278</v>
      </c>
      <c r="C38" s="46" t="n">
        <f aca="false">C36/$B$32</f>
        <v>0.024213424996287</v>
      </c>
      <c r="D38" s="46" t="n">
        <f aca="false">D36/$B$32</f>
        <v>0.0140409679378083</v>
      </c>
      <c r="E38" s="46" t="n">
        <f aca="false">E36/$B$32</f>
        <v>0.0305089154953216</v>
      </c>
    </row>
    <row r="39" customFormat="false" ht="15" hidden="false" customHeight="false" outlineLevel="0" collapsed="false">
      <c r="A39" s="10" t="s">
        <v>373</v>
      </c>
      <c r="B39" s="59" t="n">
        <f aca="false">Model_A_Direct!$C$135</f>
        <v>201.6639</v>
      </c>
      <c r="C39" s="59" t="n">
        <f aca="false">Model_B_Partner!$C$135</f>
        <v>290.84064</v>
      </c>
      <c r="D39" s="59" t="n">
        <f aca="false">Model_C_Distributor!$C$135</f>
        <v>352.76704</v>
      </c>
      <c r="E39" s="59" t="n">
        <f aca="false">Model_B_Plus!$C$135</f>
        <v>349.008768</v>
      </c>
    </row>
    <row r="41" customFormat="false" ht="15" hidden="false" customHeight="false" outlineLevel="0" collapsed="false">
      <c r="A41" s="4" t="s">
        <v>374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customFormat="false" ht="22.35" hidden="false" customHeight="false" outlineLevel="0" collapsed="false">
      <c r="A42" s="10" t="s">
        <v>375</v>
      </c>
      <c r="B42" s="48" t="n">
        <v>75.5</v>
      </c>
      <c r="M42" s="51" t="s">
        <v>376</v>
      </c>
    </row>
    <row r="43" customFormat="false" ht="22.35" hidden="false" customHeight="false" outlineLevel="0" collapsed="false">
      <c r="A43" s="10" t="s">
        <v>377</v>
      </c>
      <c r="B43" s="44" t="n">
        <v>240000</v>
      </c>
      <c r="M43" s="51" t="s">
        <v>378</v>
      </c>
    </row>
    <row r="44" customFormat="false" ht="43.25" hidden="false" customHeight="false" outlineLevel="0" collapsed="false">
      <c r="A44" s="10" t="s">
        <v>379</v>
      </c>
      <c r="B44" s="52" t="n">
        <f aca="false">B42*1000000/B43</f>
        <v>314.583333333333</v>
      </c>
      <c r="M44" s="51" t="s">
        <v>380</v>
      </c>
    </row>
    <row r="45" customFormat="false" ht="22.35" hidden="false" customHeight="false" outlineLevel="0" collapsed="false">
      <c r="A45" s="10" t="s">
        <v>381</v>
      </c>
      <c r="B45" s="46" t="n">
        <f aca="false">B42/(J22+J23)</f>
        <v>0.356782879998205</v>
      </c>
      <c r="M45" s="51" t="s">
        <v>382</v>
      </c>
    </row>
    <row r="46" customFormat="false" ht="22.35" hidden="false" customHeight="false" outlineLevel="0" collapsed="false">
      <c r="A46" s="10" t="s">
        <v>383</v>
      </c>
      <c r="B46" s="60" t="n">
        <f aca="false">Assumptions!$E$51/B44</f>
        <v>15.2582781456954</v>
      </c>
      <c r="M46" s="51" t="s">
        <v>384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K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4"/>
    <col collapsed="false" customWidth="true" hidden="false" outlineLevel="0" max="8" min="8" style="0" width="12"/>
    <col collapsed="false" customWidth="true" hidden="false" outlineLevel="0" max="9" min="9" style="0" width="8"/>
    <col collapsed="false" customWidth="true" hidden="false" outlineLevel="0" max="10" min="10" style="0" width="22"/>
    <col collapsed="false" customWidth="true" hidden="false" outlineLevel="0" max="11" min="11" style="0" width="70"/>
  </cols>
  <sheetData>
    <row r="1" customFormat="false" ht="17.35" hidden="false" customHeight="false" outlineLevel="0" collapsed="false">
      <c r="A1" s="13" t="s">
        <v>385</v>
      </c>
    </row>
    <row r="2" customFormat="false" ht="15" hidden="false" customHeight="false" outlineLevel="0" collapsed="false">
      <c r="A2" s="14" t="s">
        <v>386</v>
      </c>
    </row>
    <row r="4" customFormat="false" ht="15" hidden="false" customHeight="false" outlineLevel="0" collapsed="false">
      <c r="A4" s="4" t="s">
        <v>387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customFormat="false" ht="15" hidden="false" customHeight="false" outlineLevel="0" collapsed="false">
      <c r="A5" s="16" t="s">
        <v>388</v>
      </c>
      <c r="B5" s="17" t="s">
        <v>389</v>
      </c>
      <c r="C5" s="17" t="s">
        <v>390</v>
      </c>
      <c r="D5" s="17"/>
      <c r="E5" s="17"/>
      <c r="F5" s="17"/>
      <c r="G5" s="17"/>
      <c r="H5" s="17"/>
      <c r="I5" s="17"/>
      <c r="J5" s="17"/>
      <c r="K5" s="17" t="s">
        <v>391</v>
      </c>
    </row>
    <row r="6" customFormat="false" ht="22.35" hidden="false" customHeight="false" outlineLevel="0" collapsed="false">
      <c r="A6" s="10" t="s">
        <v>392</v>
      </c>
      <c r="B6" s="44" t="n">
        <v>924170</v>
      </c>
      <c r="C6" s="46" t="n">
        <f aca="false">B6/SUM($B$6:$B$10)</f>
        <v>0.838839093240146</v>
      </c>
      <c r="K6" s="51" t="s">
        <v>393</v>
      </c>
    </row>
    <row r="7" customFormat="false" ht="15" hidden="false" customHeight="false" outlineLevel="0" collapsed="false">
      <c r="A7" s="10" t="s">
        <v>394</v>
      </c>
      <c r="B7" s="44" t="n">
        <v>102657</v>
      </c>
      <c r="C7" s="46" t="n">
        <f aca="false">B7/SUM($B$6:$B$10)</f>
        <v>0.0931784247430166</v>
      </c>
    </row>
    <row r="8" customFormat="false" ht="15" hidden="false" customHeight="false" outlineLevel="0" collapsed="false">
      <c r="A8" s="10" t="s">
        <v>395</v>
      </c>
      <c r="B8" s="44" t="n">
        <v>59316</v>
      </c>
      <c r="C8" s="46" t="n">
        <f aca="false">B8/SUM($B$6:$B$10)</f>
        <v>0.0538392066985863</v>
      </c>
    </row>
    <row r="9" customFormat="false" ht="15" hidden="false" customHeight="false" outlineLevel="0" collapsed="false">
      <c r="A9" s="10" t="s">
        <v>396</v>
      </c>
      <c r="B9" s="44" t="n">
        <v>13099</v>
      </c>
      <c r="C9" s="46" t="n">
        <f aca="false">B9/SUM($B$6:$B$10)</f>
        <v>0.0118895368626472</v>
      </c>
    </row>
    <row r="10" customFormat="false" ht="15" hidden="false" customHeight="false" outlineLevel="0" collapsed="false">
      <c r="A10" s="10" t="s">
        <v>397</v>
      </c>
      <c r="B10" s="44" t="n">
        <v>2483</v>
      </c>
      <c r="C10" s="46" t="n">
        <f aca="false">B10/SUM($B$6:$B$10)</f>
        <v>0.00225373845560371</v>
      </c>
    </row>
    <row r="11" customFormat="false" ht="22.35" hidden="false" customHeight="false" outlineLevel="0" collapsed="false">
      <c r="A11" s="10" t="s">
        <v>398</v>
      </c>
      <c r="C11" s="40" t="n">
        <v>0.47</v>
      </c>
      <c r="K11" s="51" t="s">
        <v>399</v>
      </c>
    </row>
    <row r="12" customFormat="false" ht="15" hidden="false" customHeight="false" outlineLevel="0" collapsed="false">
      <c r="A12" s="10" t="s">
        <v>400</v>
      </c>
      <c r="C12" s="40" t="n">
        <v>0.144</v>
      </c>
    </row>
    <row r="13" customFormat="false" ht="15" hidden="false" customHeight="false" outlineLevel="0" collapsed="false">
      <c r="A13" s="10" t="s">
        <v>401</v>
      </c>
      <c r="C13" s="40" t="n">
        <v>0.19</v>
      </c>
      <c r="K13" s="51" t="s">
        <v>402</v>
      </c>
    </row>
    <row r="14" customFormat="false" ht="15" hidden="false" customHeight="false" outlineLevel="0" collapsed="false">
      <c r="A14" s="10" t="s">
        <v>403</v>
      </c>
      <c r="C14" s="40" t="n">
        <v>0.179</v>
      </c>
    </row>
    <row r="15" customFormat="false" ht="15" hidden="false" customHeight="false" outlineLevel="0" collapsed="false">
      <c r="A15" s="10" t="s">
        <v>404</v>
      </c>
      <c r="C15" s="40" t="n">
        <v>0.17</v>
      </c>
    </row>
    <row r="17" customFormat="false" ht="15" hidden="false" customHeight="false" outlineLevel="0" collapsed="false">
      <c r="A17" s="4" t="s">
        <v>405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customFormat="false" ht="60" hidden="false" customHeight="true" outlineLevel="0" collapsed="false">
      <c r="A18" s="16" t="s">
        <v>406</v>
      </c>
      <c r="B18" s="17" t="s">
        <v>407</v>
      </c>
      <c r="C18" s="17" t="s">
        <v>408</v>
      </c>
      <c r="D18" s="17" t="s">
        <v>409</v>
      </c>
      <c r="E18" s="17" t="s">
        <v>410</v>
      </c>
      <c r="F18" s="17" t="s">
        <v>411</v>
      </c>
      <c r="G18" s="17" t="s">
        <v>412</v>
      </c>
      <c r="H18" s="17" t="s">
        <v>413</v>
      </c>
      <c r="I18" s="17" t="s">
        <v>414</v>
      </c>
      <c r="J18" s="17" t="s">
        <v>415</v>
      </c>
      <c r="K18" s="17" t="s">
        <v>351</v>
      </c>
    </row>
    <row r="19" customFormat="false" ht="15" hidden="false" customHeight="false" outlineLevel="0" collapsed="false">
      <c r="A19" s="7" t="s">
        <v>416</v>
      </c>
      <c r="B19" s="39" t="n">
        <v>0.2</v>
      </c>
      <c r="C19" s="39" t="n">
        <v>0.2</v>
      </c>
      <c r="D19" s="39" t="n">
        <v>0.15</v>
      </c>
      <c r="E19" s="39" t="n">
        <v>0.15</v>
      </c>
      <c r="F19" s="39" t="n">
        <v>0.2</v>
      </c>
      <c r="G19" s="39" t="n">
        <v>0.1</v>
      </c>
      <c r="H19" s="61" t="n">
        <f aca="false">SUM(B19:G19)</f>
        <v>1</v>
      </c>
    </row>
    <row r="20" customFormat="false" ht="42" hidden="false" customHeight="true" outlineLevel="0" collapsed="false">
      <c r="A20" s="8" t="s">
        <v>417</v>
      </c>
      <c r="B20" s="43" t="n">
        <v>3</v>
      </c>
      <c r="C20" s="43" t="n">
        <v>5</v>
      </c>
      <c r="D20" s="43" t="n">
        <v>4</v>
      </c>
      <c r="E20" s="43" t="n">
        <v>3</v>
      </c>
      <c r="F20" s="43" t="n">
        <v>5</v>
      </c>
      <c r="G20" s="43" t="n">
        <v>4</v>
      </c>
      <c r="H20" s="62" t="n">
        <f aca="false">SUMPRODUCT($B$19:$G$19,B20:G20)/$H$19</f>
        <v>4.05</v>
      </c>
      <c r="I20" s="63" t="n">
        <f aca="false">RANK(H20,$H$20:$H$30)</f>
        <v>2</v>
      </c>
      <c r="J20" s="7" t="str">
        <f aca="false">IF(H20&gt;=3.8,"Tier 1 - Lead",IF(H20&gt;=3.3,"Tier 2 - Follow","Tier 3 - Opportunistic"))</f>
        <v>Tier 1 - Lead</v>
      </c>
      <c r="K20" s="51" t="s">
        <v>418</v>
      </c>
    </row>
    <row r="21" customFormat="false" ht="42" hidden="false" customHeight="true" outlineLevel="0" collapsed="false">
      <c r="A21" s="8" t="s">
        <v>419</v>
      </c>
      <c r="B21" s="43" t="n">
        <v>5</v>
      </c>
      <c r="C21" s="43" t="n">
        <v>4</v>
      </c>
      <c r="D21" s="43" t="n">
        <v>4</v>
      </c>
      <c r="E21" s="43" t="n">
        <v>2</v>
      </c>
      <c r="F21" s="43" t="n">
        <v>5</v>
      </c>
      <c r="G21" s="43" t="n">
        <v>4</v>
      </c>
      <c r="H21" s="62" t="n">
        <f aca="false">SUMPRODUCT($B$19:$G$19,B21:G21)/$H$19</f>
        <v>4.1</v>
      </c>
      <c r="I21" s="63" t="n">
        <f aca="false">RANK(H21,$H$20:$H$30)</f>
        <v>1</v>
      </c>
      <c r="J21" s="7" t="str">
        <f aca="false">IF(H21&gt;=3.8,"Tier 1 - Lead",IF(H21&gt;=3.3,"Tier 2 - Follow","Tier 3 - Opportunistic"))</f>
        <v>Tier 1 - Lead</v>
      </c>
      <c r="K21" s="51" t="s">
        <v>420</v>
      </c>
    </row>
    <row r="22" customFormat="false" ht="42" hidden="false" customHeight="true" outlineLevel="0" collapsed="false">
      <c r="A22" s="8" t="s">
        <v>421</v>
      </c>
      <c r="B22" s="43" t="n">
        <v>3</v>
      </c>
      <c r="C22" s="43" t="n">
        <v>4</v>
      </c>
      <c r="D22" s="43" t="n">
        <v>4</v>
      </c>
      <c r="E22" s="43" t="n">
        <v>3</v>
      </c>
      <c r="F22" s="43" t="n">
        <v>4</v>
      </c>
      <c r="G22" s="43" t="n">
        <v>3</v>
      </c>
      <c r="H22" s="62" t="n">
        <f aca="false">SUMPRODUCT($B$19:$G$19,B22:G22)/$H$19</f>
        <v>3.55</v>
      </c>
      <c r="I22" s="63" t="n">
        <f aca="false">RANK(H22,$H$20:$H$30)</f>
        <v>3</v>
      </c>
      <c r="J22" s="7" t="str">
        <f aca="false">IF(H22&gt;=3.8,"Tier 1 - Lead",IF(H22&gt;=3.3,"Tier 2 - Follow","Tier 3 - Opportunistic"))</f>
        <v>Tier 2 - Follow</v>
      </c>
      <c r="K22" s="51" t="s">
        <v>422</v>
      </c>
    </row>
    <row r="23" customFormat="false" ht="42" hidden="false" customHeight="true" outlineLevel="0" collapsed="false">
      <c r="A23" s="8" t="s">
        <v>423</v>
      </c>
      <c r="B23" s="43" t="n">
        <v>4</v>
      </c>
      <c r="C23" s="43" t="n">
        <v>3</v>
      </c>
      <c r="D23" s="43" t="n">
        <v>3</v>
      </c>
      <c r="E23" s="43" t="n">
        <v>4</v>
      </c>
      <c r="F23" s="43" t="n">
        <v>3</v>
      </c>
      <c r="G23" s="43" t="n">
        <v>3</v>
      </c>
      <c r="H23" s="62" t="n">
        <f aca="false">SUMPRODUCT($B$19:$G$19,B23:G23)/$H$19</f>
        <v>3.35</v>
      </c>
      <c r="I23" s="63" t="n">
        <f aca="false">RANK(H23,$H$20:$H$30)</f>
        <v>4</v>
      </c>
      <c r="J23" s="7" t="str">
        <f aca="false">IF(H23&gt;=3.8,"Tier 1 - Lead",IF(H23&gt;=3.3,"Tier 2 - Follow","Tier 3 - Opportunistic"))</f>
        <v>Tier 2 - Follow</v>
      </c>
      <c r="K23" s="51" t="s">
        <v>424</v>
      </c>
    </row>
    <row r="24" customFormat="false" ht="42" hidden="false" customHeight="true" outlineLevel="0" collapsed="false">
      <c r="A24" s="8" t="s">
        <v>425</v>
      </c>
      <c r="B24" s="43" t="n">
        <v>5</v>
      </c>
      <c r="C24" s="43" t="n">
        <v>3</v>
      </c>
      <c r="D24" s="43" t="n">
        <v>4</v>
      </c>
      <c r="E24" s="43" t="n">
        <v>1</v>
      </c>
      <c r="F24" s="43" t="n">
        <v>3</v>
      </c>
      <c r="G24" s="43" t="n">
        <v>3</v>
      </c>
      <c r="H24" s="62" t="n">
        <f aca="false">SUMPRODUCT($B$19:$G$19,B24:G24)/$H$19</f>
        <v>3.25</v>
      </c>
      <c r="I24" s="63" t="n">
        <f aca="false">RANK(H24,$H$20:$H$30)</f>
        <v>5</v>
      </c>
      <c r="J24" s="7" t="str">
        <f aca="false">IF(H24&gt;=3.8,"Tier 1 - Lead",IF(H24&gt;=3.3,"Tier 2 - Follow","Tier 3 - Opportunistic"))</f>
        <v>Tier 3 - Opportunistic</v>
      </c>
      <c r="K24" s="51" t="s">
        <v>426</v>
      </c>
    </row>
    <row r="25" customFormat="false" ht="42" hidden="false" customHeight="true" outlineLevel="0" collapsed="false">
      <c r="A25" s="8" t="s">
        <v>427</v>
      </c>
      <c r="B25" s="43" t="n">
        <v>4</v>
      </c>
      <c r="C25" s="43" t="n">
        <v>3</v>
      </c>
      <c r="D25" s="43" t="n">
        <v>4</v>
      </c>
      <c r="E25" s="43" t="n">
        <v>1</v>
      </c>
      <c r="F25" s="43" t="n">
        <v>3</v>
      </c>
      <c r="G25" s="43" t="n">
        <v>3</v>
      </c>
      <c r="H25" s="62" t="n">
        <f aca="false">SUMPRODUCT($B$19:$G$19,B25:G25)/$H$19</f>
        <v>3.05</v>
      </c>
      <c r="I25" s="63" t="n">
        <f aca="false">RANK(H25,$H$20:$H$30)</f>
        <v>6</v>
      </c>
      <c r="J25" s="7" t="str">
        <f aca="false">IF(H25&gt;=3.8,"Tier 1 - Lead",IF(H25&gt;=3.3,"Tier 2 - Follow","Tier 3 - Opportunistic"))</f>
        <v>Tier 3 - Opportunistic</v>
      </c>
      <c r="K25" s="51" t="s">
        <v>428</v>
      </c>
    </row>
    <row r="26" customFormat="false" ht="42" hidden="false" customHeight="true" outlineLevel="0" collapsed="false">
      <c r="A26" s="8" t="s">
        <v>429</v>
      </c>
      <c r="B26" s="43" t="n">
        <v>2</v>
      </c>
      <c r="C26" s="43" t="n">
        <v>3</v>
      </c>
      <c r="D26" s="43" t="n">
        <v>3</v>
      </c>
      <c r="E26" s="43" t="n">
        <v>3</v>
      </c>
      <c r="F26" s="43" t="n">
        <v>3</v>
      </c>
      <c r="G26" s="43" t="n">
        <v>3</v>
      </c>
      <c r="H26" s="62" t="n">
        <f aca="false">SUMPRODUCT($B$19:$G$19,B26:G26)/$H$19</f>
        <v>2.8</v>
      </c>
      <c r="I26" s="63" t="n">
        <f aca="false">RANK(H26,$H$20:$H$30)</f>
        <v>8</v>
      </c>
      <c r="J26" s="7" t="str">
        <f aca="false">IF(H26&gt;=3.8,"Tier 1 - Lead",IF(H26&gt;=3.3,"Tier 2 - Follow","Tier 3 - Opportunistic"))</f>
        <v>Tier 3 - Opportunistic</v>
      </c>
      <c r="K26" s="51" t="s">
        <v>430</v>
      </c>
    </row>
    <row r="27" customFormat="false" ht="42" hidden="false" customHeight="true" outlineLevel="0" collapsed="false">
      <c r="A27" s="8" t="s">
        <v>431</v>
      </c>
      <c r="B27" s="43" t="n">
        <v>2</v>
      </c>
      <c r="C27" s="43" t="n">
        <v>4</v>
      </c>
      <c r="D27" s="43" t="n">
        <v>2</v>
      </c>
      <c r="E27" s="43" t="n">
        <v>4</v>
      </c>
      <c r="F27" s="43" t="n">
        <v>3</v>
      </c>
      <c r="G27" s="43" t="n">
        <v>2</v>
      </c>
      <c r="H27" s="62" t="n">
        <f aca="false">SUMPRODUCT($B$19:$G$19,B27:G27)/$H$19</f>
        <v>2.9</v>
      </c>
      <c r="I27" s="63" t="n">
        <f aca="false">RANK(H27,$H$20:$H$30)</f>
        <v>7</v>
      </c>
      <c r="J27" s="7" t="str">
        <f aca="false">IF(H27&gt;=3.8,"Tier 1 - Lead",IF(H27&gt;=3.3,"Tier 2 - Follow","Tier 3 - Opportunistic"))</f>
        <v>Tier 3 - Opportunistic</v>
      </c>
      <c r="K27" s="51" t="s">
        <v>432</v>
      </c>
    </row>
    <row r="28" customFormat="false" ht="42" hidden="false" customHeight="true" outlineLevel="0" collapsed="false">
      <c r="A28" s="8" t="s">
        <v>433</v>
      </c>
      <c r="B28" s="43" t="n">
        <v>4</v>
      </c>
      <c r="C28" s="43" t="n">
        <v>2</v>
      </c>
      <c r="D28" s="43" t="n">
        <v>5</v>
      </c>
      <c r="E28" s="43" t="n">
        <v>1</v>
      </c>
      <c r="F28" s="43" t="n">
        <v>2</v>
      </c>
      <c r="G28" s="43" t="n">
        <v>3</v>
      </c>
      <c r="H28" s="62" t="n">
        <f aca="false">SUMPRODUCT($B$19:$G$19,B28:G28)/$H$19</f>
        <v>2.8</v>
      </c>
      <c r="I28" s="63" t="n">
        <f aca="false">RANK(H28,$H$20:$H$30)</f>
        <v>8</v>
      </c>
      <c r="J28" s="7" t="str">
        <f aca="false">IF(H28&gt;=3.8,"Tier 1 - Lead",IF(H28&gt;=3.3,"Tier 2 - Follow","Tier 3 - Opportunistic"))</f>
        <v>Tier 3 - Opportunistic</v>
      </c>
      <c r="K28" s="51" t="s">
        <v>434</v>
      </c>
    </row>
    <row r="29" customFormat="false" ht="42" hidden="false" customHeight="true" outlineLevel="0" collapsed="false">
      <c r="A29" s="8" t="s">
        <v>435</v>
      </c>
      <c r="B29" s="43" t="n">
        <v>4</v>
      </c>
      <c r="C29" s="43" t="n">
        <v>2</v>
      </c>
      <c r="D29" s="43" t="n">
        <v>4</v>
      </c>
      <c r="E29" s="43" t="n">
        <v>1</v>
      </c>
      <c r="F29" s="43" t="n">
        <v>2</v>
      </c>
      <c r="G29" s="43" t="n">
        <v>3</v>
      </c>
      <c r="H29" s="62" t="n">
        <f aca="false">SUMPRODUCT($B$19:$G$19,B29:G29)/$H$19</f>
        <v>2.65</v>
      </c>
      <c r="I29" s="63" t="n">
        <f aca="false">RANK(H29,$H$20:$H$30)</f>
        <v>10</v>
      </c>
      <c r="J29" s="7" t="str">
        <f aca="false">IF(H29&gt;=3.8,"Tier 1 - Lead",IF(H29&gt;=3.3,"Tier 2 - Follow","Tier 3 - Opportunistic"))</f>
        <v>Tier 3 - Opportunistic</v>
      </c>
      <c r="K29" s="51" t="s">
        <v>436</v>
      </c>
    </row>
    <row r="30" customFormat="false" ht="42" hidden="false" customHeight="true" outlineLevel="0" collapsed="false">
      <c r="A30" s="8" t="s">
        <v>437</v>
      </c>
      <c r="B30" s="43" t="n">
        <v>3</v>
      </c>
      <c r="C30" s="43" t="n">
        <v>2</v>
      </c>
      <c r="D30" s="43" t="n">
        <v>3</v>
      </c>
      <c r="E30" s="43" t="n">
        <v>2</v>
      </c>
      <c r="F30" s="43" t="n">
        <v>2</v>
      </c>
      <c r="G30" s="43" t="n">
        <v>3</v>
      </c>
      <c r="H30" s="62" t="n">
        <f aca="false">SUMPRODUCT($B$19:$G$19,B30:G30)/$H$19</f>
        <v>2.45</v>
      </c>
      <c r="I30" s="63" t="n">
        <f aca="false">RANK(H30,$H$20:$H$30)</f>
        <v>11</v>
      </c>
      <c r="J30" s="7" t="str">
        <f aca="false">IF(H30&gt;=3.8,"Tier 1 - Lead",IF(H30&gt;=3.3,"Tier 2 - Follow","Tier 3 - Opportunistic"))</f>
        <v>Tier 3 - Opportunistic</v>
      </c>
      <c r="K30" s="51" t="s">
        <v>438</v>
      </c>
    </row>
    <row r="32" customFormat="false" ht="15" hidden="false" customHeight="false" outlineLevel="0" collapsed="false">
      <c r="A32" s="4" t="s">
        <v>439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customFormat="false" ht="30" hidden="false" customHeight="true" outlineLevel="0" collapsed="false">
      <c r="A33" s="16" t="s">
        <v>440</v>
      </c>
      <c r="B33" s="17" t="s">
        <v>441</v>
      </c>
      <c r="C33" s="17"/>
      <c r="D33" s="17" t="s">
        <v>442</v>
      </c>
      <c r="E33" s="17"/>
      <c r="F33" s="17" t="s">
        <v>443</v>
      </c>
      <c r="G33" s="17"/>
      <c r="H33" s="17" t="s">
        <v>444</v>
      </c>
      <c r="I33" s="17"/>
      <c r="J33" s="17" t="s">
        <v>445</v>
      </c>
      <c r="K33" s="17" t="s">
        <v>446</v>
      </c>
    </row>
    <row r="34" customFormat="false" ht="90" hidden="false" customHeight="true" outlineLevel="0" collapsed="false">
      <c r="A34" s="64" t="s">
        <v>447</v>
      </c>
      <c r="B34" s="65" t="s">
        <v>448</v>
      </c>
      <c r="C34" s="65"/>
      <c r="D34" s="65" t="s">
        <v>449</v>
      </c>
      <c r="E34" s="65"/>
      <c r="F34" s="65" t="s">
        <v>450</v>
      </c>
      <c r="G34" s="65"/>
      <c r="H34" s="65" t="s">
        <v>451</v>
      </c>
      <c r="I34" s="65"/>
      <c r="J34" s="51" t="s">
        <v>452</v>
      </c>
      <c r="K34" s="51" t="s">
        <v>453</v>
      </c>
    </row>
    <row r="35" customFormat="false" ht="90" hidden="false" customHeight="true" outlineLevel="0" collapsed="false">
      <c r="A35" s="64" t="s">
        <v>454</v>
      </c>
      <c r="B35" s="65" t="s">
        <v>455</v>
      </c>
      <c r="C35" s="65"/>
      <c r="D35" s="65" t="s">
        <v>456</v>
      </c>
      <c r="E35" s="65"/>
      <c r="F35" s="65" t="s">
        <v>457</v>
      </c>
      <c r="G35" s="65"/>
      <c r="H35" s="65" t="s">
        <v>458</v>
      </c>
      <c r="I35" s="65"/>
      <c r="J35" s="51" t="s">
        <v>459</v>
      </c>
      <c r="K35" s="51" t="s">
        <v>460</v>
      </c>
    </row>
    <row r="36" customFormat="false" ht="90" hidden="false" customHeight="true" outlineLevel="0" collapsed="false">
      <c r="A36" s="64" t="s">
        <v>461</v>
      </c>
      <c r="B36" s="65" t="s">
        <v>462</v>
      </c>
      <c r="C36" s="65"/>
      <c r="D36" s="65" t="s">
        <v>463</v>
      </c>
      <c r="E36" s="65"/>
      <c r="F36" s="65" t="s">
        <v>464</v>
      </c>
      <c r="G36" s="65"/>
      <c r="H36" s="65" t="s">
        <v>465</v>
      </c>
      <c r="I36" s="65"/>
      <c r="J36" s="51" t="s">
        <v>466</v>
      </c>
      <c r="K36" s="51" t="s">
        <v>467</v>
      </c>
    </row>
  </sheetData>
  <mergeCells count="12">
    <mergeCell ref="B34:C34"/>
    <mergeCell ref="D34:E34"/>
    <mergeCell ref="F34:G34"/>
    <mergeCell ref="H34:I34"/>
    <mergeCell ref="B35:C35"/>
    <mergeCell ref="D35:E35"/>
    <mergeCell ref="F35:G35"/>
    <mergeCell ref="H35:I35"/>
    <mergeCell ref="B36:C36"/>
    <mergeCell ref="D36:E36"/>
    <mergeCell ref="F36:G36"/>
    <mergeCell ref="H36:I36"/>
  </mergeCells>
  <conditionalFormatting sqref="H20:H30">
    <cfRule type="colorScale" priority="2">
      <colorScale>
        <cfvo type="num" val="2"/>
        <cfvo type="num" val="3.3"/>
        <cfvo type="num" val="4.2"/>
        <color rgb="FFF8CBAD"/>
        <color rgb="FFFFEB9C"/>
        <color rgb="FFA9D08E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N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4" min="2" style="0" width="12.5"/>
  </cols>
  <sheetData>
    <row r="1" customFormat="false" ht="17.35" hidden="false" customHeight="false" outlineLevel="0" collapsed="false">
      <c r="A1" s="13" t="s">
        <v>468</v>
      </c>
    </row>
    <row r="2" customFormat="false" ht="15" hidden="false" customHeight="false" outlineLevel="0" collapsed="false">
      <c r="A2" s="14" t="s">
        <v>469</v>
      </c>
    </row>
    <row r="4" customFormat="false" ht="15" hidden="false" customHeight="false" outlineLevel="0" collapsed="false">
      <c r="A4" s="4" t="s">
        <v>470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customFormat="false" ht="87.75" hidden="false" customHeight="true" outlineLevel="0" collapsed="false">
      <c r="A5" s="16" t="s">
        <v>471</v>
      </c>
      <c r="B5" s="17" t="s">
        <v>472</v>
      </c>
      <c r="C5" s="17" t="s">
        <v>473</v>
      </c>
      <c r="D5" s="17" t="s">
        <v>474</v>
      </c>
      <c r="E5" s="17" t="s">
        <v>475</v>
      </c>
      <c r="F5" s="17" t="s">
        <v>476</v>
      </c>
      <c r="G5" s="17" t="s">
        <v>477</v>
      </c>
      <c r="H5" s="17" t="s">
        <v>478</v>
      </c>
      <c r="I5" s="17" t="s">
        <v>413</v>
      </c>
      <c r="J5" s="17" t="s">
        <v>414</v>
      </c>
    </row>
    <row r="6" customFormat="false" ht="15" hidden="false" customHeight="false" outlineLevel="0" collapsed="false">
      <c r="A6" s="7" t="s">
        <v>416</v>
      </c>
      <c r="B6" s="39" t="n">
        <v>0.15</v>
      </c>
      <c r="C6" s="39" t="n">
        <v>0.2</v>
      </c>
      <c r="D6" s="39" t="n">
        <v>0.15</v>
      </c>
      <c r="E6" s="39" t="n">
        <v>0.2</v>
      </c>
      <c r="F6" s="39" t="n">
        <v>0.1</v>
      </c>
      <c r="G6" s="39" t="n">
        <v>0.15</v>
      </c>
      <c r="H6" s="39" t="n">
        <v>0.05</v>
      </c>
      <c r="I6" s="61" t="n">
        <f aca="false">SUM(B6:H6)</f>
        <v>1</v>
      </c>
    </row>
    <row r="7" customFormat="false" ht="15" hidden="false" customHeight="false" outlineLevel="0" collapsed="false">
      <c r="A7" s="10" t="s">
        <v>479</v>
      </c>
      <c r="B7" s="43" t="n">
        <v>5</v>
      </c>
      <c r="C7" s="43" t="n">
        <v>4</v>
      </c>
      <c r="D7" s="43" t="n">
        <v>1</v>
      </c>
      <c r="E7" s="43" t="n">
        <v>5</v>
      </c>
      <c r="F7" s="43" t="n">
        <v>4</v>
      </c>
      <c r="G7" s="43" t="n">
        <v>5</v>
      </c>
      <c r="H7" s="43" t="n">
        <v>5</v>
      </c>
      <c r="I7" s="66" t="n">
        <f aca="false">SUMPRODUCT($B$6:$H$6,B7:H7)/$I$6</f>
        <v>4.1</v>
      </c>
      <c r="J7" s="63" t="n">
        <f aca="false">RANK(I7,$I$7:$I$18)</f>
        <v>3</v>
      </c>
    </row>
    <row r="8" customFormat="false" ht="15" hidden="false" customHeight="false" outlineLevel="0" collapsed="false">
      <c r="A8" s="10" t="s">
        <v>480</v>
      </c>
      <c r="B8" s="43" t="n">
        <v>4</v>
      </c>
      <c r="C8" s="43" t="n">
        <v>4</v>
      </c>
      <c r="D8" s="43" t="n">
        <v>2</v>
      </c>
      <c r="E8" s="43" t="n">
        <v>5</v>
      </c>
      <c r="F8" s="43" t="n">
        <v>5</v>
      </c>
      <c r="G8" s="43" t="n">
        <v>5</v>
      </c>
      <c r="H8" s="43" t="n">
        <v>3</v>
      </c>
      <c r="I8" s="66" t="n">
        <f aca="false">SUMPRODUCT($B$6:$H$6,B8:H8)/$I$6</f>
        <v>4.1</v>
      </c>
      <c r="J8" s="63" t="n">
        <f aca="false">RANK(I8,$I$7:$I$18)</f>
        <v>3</v>
      </c>
    </row>
    <row r="9" customFormat="false" ht="15" hidden="false" customHeight="false" outlineLevel="0" collapsed="false">
      <c r="A9" s="10" t="s">
        <v>481</v>
      </c>
      <c r="B9" s="43" t="n">
        <v>5</v>
      </c>
      <c r="C9" s="43" t="n">
        <v>3</v>
      </c>
      <c r="D9" s="43" t="n">
        <v>1</v>
      </c>
      <c r="E9" s="43" t="n">
        <v>3</v>
      </c>
      <c r="F9" s="43" t="n">
        <v>5</v>
      </c>
      <c r="G9" s="43" t="n">
        <v>4</v>
      </c>
      <c r="H9" s="43" t="n">
        <v>3</v>
      </c>
      <c r="I9" s="66" t="n">
        <f aca="false">SUMPRODUCT($B$6:$H$6,B9:H9)/$I$6</f>
        <v>3.35</v>
      </c>
      <c r="J9" s="63" t="n">
        <f aca="false">RANK(I9,$I$7:$I$18)</f>
        <v>9</v>
      </c>
    </row>
    <row r="10" customFormat="false" ht="15" hidden="false" customHeight="false" outlineLevel="0" collapsed="false">
      <c r="A10" s="10" t="s">
        <v>482</v>
      </c>
      <c r="B10" s="43" t="n">
        <v>4</v>
      </c>
      <c r="C10" s="43" t="n">
        <v>3</v>
      </c>
      <c r="D10" s="43" t="n">
        <v>4</v>
      </c>
      <c r="E10" s="43" t="n">
        <v>3</v>
      </c>
      <c r="F10" s="43" t="n">
        <v>4</v>
      </c>
      <c r="G10" s="43" t="n">
        <v>3</v>
      </c>
      <c r="H10" s="43" t="n">
        <v>3</v>
      </c>
      <c r="I10" s="66" t="n">
        <f aca="false">SUMPRODUCT($B$6:$H$6,B10:H10)/$I$6</f>
        <v>3.4</v>
      </c>
      <c r="J10" s="63" t="n">
        <f aca="false">RANK(I10,$I$7:$I$18)</f>
        <v>8</v>
      </c>
    </row>
    <row r="11" customFormat="false" ht="15" hidden="false" customHeight="false" outlineLevel="0" collapsed="false">
      <c r="A11" s="10" t="s">
        <v>483</v>
      </c>
      <c r="B11" s="43" t="n">
        <v>3</v>
      </c>
      <c r="C11" s="43" t="n">
        <v>5</v>
      </c>
      <c r="D11" s="43" t="n">
        <v>5</v>
      </c>
      <c r="E11" s="43" t="n">
        <v>5</v>
      </c>
      <c r="F11" s="43" t="n">
        <v>3</v>
      </c>
      <c r="G11" s="43" t="n">
        <v>5</v>
      </c>
      <c r="H11" s="43" t="n">
        <v>3</v>
      </c>
      <c r="I11" s="66" t="n">
        <f aca="false">SUMPRODUCT($B$6:$H$6,B11:H11)/$I$6</f>
        <v>4.4</v>
      </c>
      <c r="J11" s="63" t="n">
        <f aca="false">RANK(I11,$I$7:$I$18)</f>
        <v>1</v>
      </c>
    </row>
    <row r="12" customFormat="false" ht="15" hidden="false" customHeight="false" outlineLevel="0" collapsed="false">
      <c r="A12" s="10" t="s">
        <v>484</v>
      </c>
      <c r="B12" s="43" t="n">
        <v>3</v>
      </c>
      <c r="C12" s="43" t="n">
        <v>5</v>
      </c>
      <c r="D12" s="43" t="n">
        <v>5</v>
      </c>
      <c r="E12" s="43" t="n">
        <v>5</v>
      </c>
      <c r="F12" s="43" t="n">
        <v>2</v>
      </c>
      <c r="G12" s="43" t="n">
        <v>5</v>
      </c>
      <c r="H12" s="43" t="n">
        <v>3</v>
      </c>
      <c r="I12" s="66" t="n">
        <f aca="false">SUMPRODUCT($B$6:$H$6,B12:H12)/$I$6</f>
        <v>4.3</v>
      </c>
      <c r="J12" s="63" t="n">
        <f aca="false">RANK(I12,$I$7:$I$18)</f>
        <v>2</v>
      </c>
    </row>
    <row r="13" customFormat="false" ht="15" hidden="false" customHeight="false" outlineLevel="0" collapsed="false">
      <c r="A13" s="10" t="s">
        <v>485</v>
      </c>
      <c r="B13" s="43" t="n">
        <v>4</v>
      </c>
      <c r="C13" s="43" t="n">
        <v>3</v>
      </c>
      <c r="D13" s="43" t="n">
        <v>5</v>
      </c>
      <c r="E13" s="43" t="n">
        <v>3</v>
      </c>
      <c r="F13" s="43" t="n">
        <v>5</v>
      </c>
      <c r="G13" s="43" t="n">
        <v>3</v>
      </c>
      <c r="H13" s="43" t="n">
        <v>2</v>
      </c>
      <c r="I13" s="66" t="n">
        <f aca="false">SUMPRODUCT($B$6:$H$6,B13:H13)/$I$6</f>
        <v>3.6</v>
      </c>
      <c r="J13" s="63" t="n">
        <f aca="false">RANK(I13,$I$7:$I$18)</f>
        <v>6</v>
      </c>
    </row>
    <row r="14" customFormat="false" ht="15" hidden="false" customHeight="false" outlineLevel="0" collapsed="false">
      <c r="A14" s="10" t="s">
        <v>486</v>
      </c>
      <c r="B14" s="43" t="n">
        <v>4</v>
      </c>
      <c r="C14" s="43" t="n">
        <v>3</v>
      </c>
      <c r="D14" s="43" t="n">
        <v>3</v>
      </c>
      <c r="E14" s="43" t="n">
        <v>3</v>
      </c>
      <c r="F14" s="43" t="n">
        <v>4</v>
      </c>
      <c r="G14" s="43" t="n">
        <v>3</v>
      </c>
      <c r="H14" s="43" t="n">
        <v>4</v>
      </c>
      <c r="I14" s="66" t="n">
        <f aca="false">SUMPRODUCT($B$6:$H$6,B14:H14)/$I$6</f>
        <v>3.3</v>
      </c>
      <c r="J14" s="63" t="n">
        <f aca="false">RANK(I14,$I$7:$I$18)</f>
        <v>10</v>
      </c>
    </row>
    <row r="15" customFormat="false" ht="15" hidden="false" customHeight="false" outlineLevel="0" collapsed="false">
      <c r="A15" s="10" t="s">
        <v>487</v>
      </c>
      <c r="B15" s="43" t="n">
        <v>3</v>
      </c>
      <c r="C15" s="43" t="n">
        <v>3</v>
      </c>
      <c r="D15" s="43" t="n">
        <v>4</v>
      </c>
      <c r="E15" s="43" t="n">
        <v>2</v>
      </c>
      <c r="F15" s="43" t="n">
        <v>5</v>
      </c>
      <c r="G15" s="43" t="n">
        <v>2</v>
      </c>
      <c r="H15" s="43" t="n">
        <v>3</v>
      </c>
      <c r="I15" s="66" t="n">
        <f aca="false">SUMPRODUCT($B$6:$H$6,B15:H15)/$I$6</f>
        <v>3</v>
      </c>
      <c r="J15" s="63" t="n">
        <f aca="false">RANK(I15,$I$7:$I$18)</f>
        <v>11</v>
      </c>
    </row>
    <row r="16" customFormat="false" ht="15" hidden="false" customHeight="false" outlineLevel="0" collapsed="false">
      <c r="A16" s="10" t="s">
        <v>488</v>
      </c>
      <c r="B16" s="43" t="n">
        <v>2</v>
      </c>
      <c r="C16" s="43" t="n">
        <v>4</v>
      </c>
      <c r="D16" s="43" t="n">
        <v>5</v>
      </c>
      <c r="E16" s="43" t="n">
        <v>3</v>
      </c>
      <c r="F16" s="43" t="n">
        <v>5</v>
      </c>
      <c r="G16" s="43" t="n">
        <v>3</v>
      </c>
      <c r="H16" s="43" t="n">
        <v>1</v>
      </c>
      <c r="I16" s="66" t="n">
        <f aca="false">SUMPRODUCT($B$6:$H$6,B16:H16)/$I$6</f>
        <v>3.45</v>
      </c>
      <c r="J16" s="63" t="n">
        <f aca="false">RANK(I16,$I$7:$I$18)</f>
        <v>7</v>
      </c>
    </row>
    <row r="17" customFormat="false" ht="15" hidden="false" customHeight="false" outlineLevel="0" collapsed="false">
      <c r="A17" s="7" t="s">
        <v>489</v>
      </c>
      <c r="B17" s="43" t="n">
        <v>4</v>
      </c>
      <c r="C17" s="43" t="n">
        <v>1</v>
      </c>
      <c r="D17" s="43" t="n">
        <v>4</v>
      </c>
      <c r="E17" s="43" t="n">
        <v>1</v>
      </c>
      <c r="F17" s="43" t="n">
        <v>4</v>
      </c>
      <c r="G17" s="43" t="n">
        <v>1</v>
      </c>
      <c r="H17" s="43" t="n">
        <v>4</v>
      </c>
      <c r="I17" s="66" t="n">
        <f aca="false">SUMPRODUCT($B$6:$H$6,B17:H17)/$I$6</f>
        <v>2.35</v>
      </c>
      <c r="J17" s="63" t="n">
        <f aca="false">RANK(I17,$I$7:$I$18)</f>
        <v>12</v>
      </c>
    </row>
    <row r="18" customFormat="false" ht="15" hidden="false" customHeight="false" outlineLevel="0" collapsed="false">
      <c r="A18" s="7" t="s">
        <v>490</v>
      </c>
      <c r="B18" s="43" t="n">
        <v>4</v>
      </c>
      <c r="C18" s="43" t="n">
        <v>4</v>
      </c>
      <c r="D18" s="43" t="n">
        <v>4</v>
      </c>
      <c r="E18" s="43" t="n">
        <v>3</v>
      </c>
      <c r="F18" s="43" t="n">
        <v>4</v>
      </c>
      <c r="G18" s="43" t="n">
        <v>3</v>
      </c>
      <c r="H18" s="43" t="n">
        <v>4</v>
      </c>
      <c r="I18" s="66" t="n">
        <f aca="false">SUMPRODUCT($B$6:$H$6,B18:H18)/$I$6</f>
        <v>3.65</v>
      </c>
      <c r="J18" s="63" t="n">
        <f aca="false">RANK(I18,$I$7:$I$18)</f>
        <v>5</v>
      </c>
    </row>
    <row r="19" customFormat="false" ht="15" hidden="false" customHeight="false" outlineLevel="0" collapsed="false">
      <c r="A19" s="67" t="s">
        <v>491</v>
      </c>
    </row>
    <row r="21" customFormat="false" ht="15" hidden="false" customHeight="false" outlineLevel="0" collapsed="false">
      <c r="A21" s="4" t="s">
        <v>492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customFormat="false" ht="30" hidden="false" customHeight="true" outlineLevel="0" collapsed="false">
      <c r="A22" s="16" t="s">
        <v>471</v>
      </c>
      <c r="B22" s="17" t="s">
        <v>493</v>
      </c>
      <c r="C22" s="17"/>
      <c r="D22" s="17"/>
      <c r="E22" s="17" t="s">
        <v>494</v>
      </c>
      <c r="F22" s="17"/>
      <c r="G22" s="17"/>
      <c r="H22" s="17" t="s">
        <v>495</v>
      </c>
      <c r="I22" s="17"/>
      <c r="J22" s="17"/>
      <c r="K22" s="17" t="s">
        <v>496</v>
      </c>
      <c r="L22" s="17"/>
      <c r="M22" s="17"/>
      <c r="N22" s="17" t="s">
        <v>497</v>
      </c>
    </row>
    <row r="23" customFormat="false" ht="78" hidden="false" customHeight="true" outlineLevel="0" collapsed="false">
      <c r="A23" s="64" t="s">
        <v>498</v>
      </c>
      <c r="B23" s="65" t="s">
        <v>499</v>
      </c>
      <c r="C23" s="65"/>
      <c r="D23" s="65"/>
      <c r="E23" s="65" t="s">
        <v>500</v>
      </c>
      <c r="F23" s="65"/>
      <c r="G23" s="65"/>
      <c r="H23" s="65" t="s">
        <v>501</v>
      </c>
      <c r="I23" s="65"/>
      <c r="J23" s="65"/>
      <c r="K23" s="65" t="s">
        <v>502</v>
      </c>
      <c r="L23" s="65"/>
      <c r="M23" s="65"/>
      <c r="N23" s="51" t="s">
        <v>503</v>
      </c>
    </row>
    <row r="24" customFormat="false" ht="78" hidden="false" customHeight="true" outlineLevel="0" collapsed="false">
      <c r="A24" s="64" t="s">
        <v>504</v>
      </c>
      <c r="B24" s="65" t="s">
        <v>505</v>
      </c>
      <c r="C24" s="65"/>
      <c r="D24" s="65"/>
      <c r="E24" s="65" t="s">
        <v>506</v>
      </c>
      <c r="F24" s="65"/>
      <c r="G24" s="65"/>
      <c r="H24" s="65" t="s">
        <v>507</v>
      </c>
      <c r="I24" s="65"/>
      <c r="J24" s="65"/>
      <c r="K24" s="65" t="s">
        <v>508</v>
      </c>
      <c r="L24" s="65"/>
      <c r="M24" s="65"/>
      <c r="N24" s="51" t="s">
        <v>509</v>
      </c>
    </row>
    <row r="25" customFormat="false" ht="78" hidden="false" customHeight="true" outlineLevel="0" collapsed="false">
      <c r="A25" s="64" t="s">
        <v>510</v>
      </c>
      <c r="B25" s="65" t="s">
        <v>511</v>
      </c>
      <c r="C25" s="65"/>
      <c r="D25" s="65"/>
      <c r="E25" s="65" t="s">
        <v>512</v>
      </c>
      <c r="F25" s="65"/>
      <c r="G25" s="65"/>
      <c r="H25" s="65" t="s">
        <v>513</v>
      </c>
      <c r="I25" s="65"/>
      <c r="J25" s="65"/>
      <c r="K25" s="65" t="s">
        <v>514</v>
      </c>
      <c r="L25" s="65"/>
      <c r="M25" s="65"/>
      <c r="N25" s="51" t="s">
        <v>515</v>
      </c>
    </row>
    <row r="26" customFormat="false" ht="78" hidden="false" customHeight="true" outlineLevel="0" collapsed="false">
      <c r="A26" s="64" t="s">
        <v>516</v>
      </c>
      <c r="B26" s="65" t="s">
        <v>517</v>
      </c>
      <c r="C26" s="65"/>
      <c r="D26" s="65"/>
      <c r="E26" s="65" t="s">
        <v>518</v>
      </c>
      <c r="F26" s="65"/>
      <c r="G26" s="65"/>
      <c r="H26" s="65" t="s">
        <v>519</v>
      </c>
      <c r="I26" s="65"/>
      <c r="J26" s="65"/>
      <c r="K26" s="65" t="s">
        <v>520</v>
      </c>
      <c r="L26" s="65"/>
      <c r="M26" s="65"/>
      <c r="N26" s="51" t="s">
        <v>521</v>
      </c>
    </row>
    <row r="27" customFormat="false" ht="78" hidden="false" customHeight="true" outlineLevel="0" collapsed="false">
      <c r="A27" s="64" t="s">
        <v>522</v>
      </c>
      <c r="B27" s="65" t="s">
        <v>523</v>
      </c>
      <c r="C27" s="65"/>
      <c r="D27" s="65"/>
      <c r="E27" s="65" t="s">
        <v>524</v>
      </c>
      <c r="F27" s="65"/>
      <c r="G27" s="65"/>
      <c r="H27" s="65" t="s">
        <v>525</v>
      </c>
      <c r="I27" s="65"/>
      <c r="J27" s="65"/>
      <c r="K27" s="65" t="s">
        <v>526</v>
      </c>
      <c r="L27" s="65"/>
      <c r="M27" s="65"/>
      <c r="N27" s="51" t="s">
        <v>527</v>
      </c>
    </row>
    <row r="28" customFormat="false" ht="78" hidden="false" customHeight="true" outlineLevel="0" collapsed="false">
      <c r="A28" s="64" t="s">
        <v>486</v>
      </c>
      <c r="B28" s="65" t="s">
        <v>528</v>
      </c>
      <c r="C28" s="65"/>
      <c r="D28" s="65"/>
      <c r="E28" s="65" t="s">
        <v>529</v>
      </c>
      <c r="F28" s="65"/>
      <c r="G28" s="65"/>
      <c r="H28" s="65" t="s">
        <v>530</v>
      </c>
      <c r="I28" s="65"/>
      <c r="J28" s="65"/>
      <c r="K28" s="65" t="s">
        <v>531</v>
      </c>
      <c r="L28" s="65"/>
      <c r="M28" s="65"/>
      <c r="N28" s="51" t="s">
        <v>532</v>
      </c>
    </row>
    <row r="29" customFormat="false" ht="78" hidden="false" customHeight="true" outlineLevel="0" collapsed="false">
      <c r="A29" s="64" t="s">
        <v>487</v>
      </c>
      <c r="B29" s="65" t="s">
        <v>533</v>
      </c>
      <c r="C29" s="65"/>
      <c r="D29" s="65"/>
      <c r="E29" s="65" t="s">
        <v>534</v>
      </c>
      <c r="F29" s="65"/>
      <c r="G29" s="65"/>
      <c r="H29" s="65" t="s">
        <v>535</v>
      </c>
      <c r="I29" s="65"/>
      <c r="J29" s="65"/>
      <c r="K29" s="65" t="s">
        <v>536</v>
      </c>
      <c r="L29" s="65"/>
      <c r="M29" s="65"/>
      <c r="N29" s="51" t="s">
        <v>532</v>
      </c>
    </row>
    <row r="30" customFormat="false" ht="78" hidden="false" customHeight="true" outlineLevel="0" collapsed="false">
      <c r="A30" s="64" t="s">
        <v>537</v>
      </c>
      <c r="B30" s="65" t="s">
        <v>538</v>
      </c>
      <c r="C30" s="65"/>
      <c r="D30" s="65"/>
      <c r="E30" s="65" t="s">
        <v>539</v>
      </c>
      <c r="F30" s="65"/>
      <c r="G30" s="65"/>
      <c r="H30" s="65" t="s">
        <v>540</v>
      </c>
      <c r="I30" s="65"/>
      <c r="J30" s="65"/>
      <c r="K30" s="65" t="s">
        <v>541</v>
      </c>
      <c r="L30" s="65"/>
      <c r="M30" s="65"/>
      <c r="N30" s="51" t="s">
        <v>521</v>
      </c>
    </row>
  </sheetData>
  <mergeCells count="32">
    <mergeCell ref="B23:D23"/>
    <mergeCell ref="E23:G23"/>
    <mergeCell ref="H23:J23"/>
    <mergeCell ref="K23:M23"/>
    <mergeCell ref="B24:D24"/>
    <mergeCell ref="E24:G24"/>
    <mergeCell ref="H24:J24"/>
    <mergeCell ref="K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</mergeCells>
  <conditionalFormatting sqref="B7:H18">
    <cfRule type="colorScale" priority="2">
      <colorScale>
        <cfvo type="num" val="1"/>
        <cfvo type="num" val="3"/>
        <cfvo type="num" val="5"/>
        <color rgb="FFF8CBAD"/>
        <color rgb="FFFFEB9C"/>
        <color rgb="FFA9D08E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true"/>
  </sheetPr>
  <dimension ref="A1:P1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8"/>
    <col collapsed="false" customWidth="true" hidden="false" outlineLevel="0" max="6" min="3" style="0" width="14"/>
    <col collapsed="false" customWidth="true" hidden="false" outlineLevel="0" max="7" min="7" style="0" width="3"/>
    <col collapsed="false" customWidth="true" hidden="false" outlineLevel="0" max="11" min="8" style="0" width="14"/>
    <col collapsed="false" customWidth="true" hidden="false" outlineLevel="0" max="12" min="12" style="0" width="3"/>
    <col collapsed="false" customWidth="true" hidden="false" outlineLevel="0" max="16" min="13" style="0" width="14"/>
    <col collapsed="false" customWidth="true" hidden="false" outlineLevel="0" max="17" min="17" style="0" width="3"/>
  </cols>
  <sheetData>
    <row r="1" customFormat="false" ht="17.35" hidden="false" customHeight="false" outlineLevel="0" collapsed="false">
      <c r="A1" s="13" t="s">
        <v>542</v>
      </c>
    </row>
    <row r="2" customFormat="false" ht="15" hidden="false" customHeight="false" outlineLevel="0" collapsed="false">
      <c r="A2" s="14" t="s">
        <v>543</v>
      </c>
    </row>
    <row r="4" customFormat="false" ht="15" hidden="false" customHeight="false" outlineLevel="0" collapsed="false">
      <c r="C4" s="68" t="s">
        <v>544</v>
      </c>
      <c r="D4" s="68"/>
      <c r="E4" s="68"/>
      <c r="F4" s="68"/>
      <c r="H4" s="69" t="s">
        <v>545</v>
      </c>
      <c r="I4" s="69"/>
      <c r="J4" s="69"/>
      <c r="K4" s="69"/>
      <c r="M4" s="70" t="s">
        <v>546</v>
      </c>
      <c r="N4" s="70"/>
      <c r="O4" s="70"/>
      <c r="P4" s="70"/>
    </row>
    <row r="5" customFormat="false" ht="15" hidden="false" customHeight="false" outlineLevel="0" collapsed="false">
      <c r="A5" s="71" t="s">
        <v>547</v>
      </c>
      <c r="B5" s="71" t="s">
        <v>120</v>
      </c>
      <c r="C5" s="72" t="s">
        <v>105</v>
      </c>
      <c r="D5" s="72" t="s">
        <v>101</v>
      </c>
      <c r="E5" s="72" t="s">
        <v>102</v>
      </c>
      <c r="F5" s="72" t="s">
        <v>103</v>
      </c>
      <c r="H5" s="72" t="s">
        <v>105</v>
      </c>
      <c r="I5" s="72" t="s">
        <v>101</v>
      </c>
      <c r="J5" s="72" t="s">
        <v>102</v>
      </c>
      <c r="K5" s="72" t="s">
        <v>103</v>
      </c>
      <c r="M5" s="72" t="s">
        <v>105</v>
      </c>
      <c r="N5" s="72" t="s">
        <v>101</v>
      </c>
      <c r="O5" s="72" t="s">
        <v>102</v>
      </c>
      <c r="P5" s="72" t="s">
        <v>103</v>
      </c>
    </row>
    <row r="8" customFormat="false" ht="15" hidden="false" customHeight="false" outlineLevel="0" collapsed="false">
      <c r="A8" s="4" t="s">
        <v>548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customFormat="false" ht="15" hidden="false" customHeight="false" outlineLevel="0" collapsed="false">
      <c r="A9" s="10" t="s">
        <v>549</v>
      </c>
      <c r="B9" s="36" t="s">
        <v>550</v>
      </c>
      <c r="C9" s="73" t="n">
        <v>2</v>
      </c>
      <c r="H9" s="73" t="n">
        <v>1</v>
      </c>
      <c r="M9" s="73" t="n">
        <v>3</v>
      </c>
    </row>
    <row r="10" customFormat="false" ht="15" hidden="false" customHeight="false" outlineLevel="0" collapsed="false">
      <c r="A10" s="10" t="s">
        <v>551</v>
      </c>
      <c r="B10" s="36"/>
      <c r="C10" s="10" t="str">
        <f aca="false">CHOOSE($C$9,"Downside","Base","Upside")</f>
        <v>Base</v>
      </c>
      <c r="H10" s="10" t="str">
        <f aca="false">CHOOSE($H$9,"Downside","Base","Upside")</f>
        <v>Downside</v>
      </c>
      <c r="M10" s="10" t="str">
        <f aca="false">CHOOSE($M$9,"Downside","Base","Upside")</f>
        <v>Upside</v>
      </c>
    </row>
    <row r="11" customFormat="false" ht="15" hidden="false" customHeight="false" outlineLevel="0" collapsed="false">
      <c r="A11" s="10" t="s">
        <v>190</v>
      </c>
      <c r="B11" s="36" t="s">
        <v>137</v>
      </c>
      <c r="C11" s="74" t="n">
        <f aca="false">INDEX(Assumptions!$C$40:$E$40,$C$9)</f>
        <v>1</v>
      </c>
      <c r="H11" s="74" t="n">
        <f aca="false">INDEX(Assumptions!$C$40:$E$40,$H$9)</f>
        <v>0.65</v>
      </c>
      <c r="M11" s="74" t="n">
        <f aca="false">INDEX(Assumptions!$C$40:$E$40,$M$9)</f>
        <v>1.3</v>
      </c>
    </row>
    <row r="12" customFormat="false" ht="15" hidden="false" customHeight="false" outlineLevel="0" collapsed="false">
      <c r="A12" s="10" t="s">
        <v>552</v>
      </c>
      <c r="B12" s="36" t="s">
        <v>137</v>
      </c>
      <c r="C12" s="74" t="n">
        <f aca="false">INDEX(Assumptions!$C$41:$E$41,$C$9)</f>
        <v>1</v>
      </c>
      <c r="H12" s="74" t="n">
        <f aca="false">INDEX(Assumptions!$C$41:$E$41,$H$9)</f>
        <v>0.9</v>
      </c>
      <c r="M12" s="74" t="n">
        <f aca="false">INDEX(Assumptions!$C$41:$E$41,$M$9)</f>
        <v>1.08</v>
      </c>
    </row>
    <row r="13" customFormat="false" ht="15" hidden="false" customHeight="false" outlineLevel="0" collapsed="false">
      <c r="A13" s="10" t="s">
        <v>553</v>
      </c>
      <c r="B13" s="36" t="s">
        <v>137</v>
      </c>
      <c r="C13" s="46" t="n">
        <f aca="false">INDEX(Assumptions!$C$42:$E$42,$C$9)</f>
        <v>0</v>
      </c>
      <c r="H13" s="46" t="n">
        <f aca="false">INDEX(Assumptions!$C$42:$E$42,$H$9)</f>
        <v>0.03</v>
      </c>
      <c r="M13" s="46" t="n">
        <f aca="false">INDEX(Assumptions!$C$42:$E$42,$M$9)</f>
        <v>-0.015</v>
      </c>
    </row>
    <row r="14" customFormat="false" ht="15" hidden="false" customHeight="false" outlineLevel="0" collapsed="false">
      <c r="A14" s="10" t="s">
        <v>197</v>
      </c>
      <c r="B14" s="36" t="s">
        <v>137</v>
      </c>
      <c r="C14" s="74" t="n">
        <f aca="false">INDEX(Assumptions!$C$43:$E$43,$C$9)</f>
        <v>1</v>
      </c>
      <c r="H14" s="74" t="n">
        <f aca="false">INDEX(Assumptions!$C$43:$E$43,$H$9)</f>
        <v>1.05</v>
      </c>
      <c r="M14" s="74" t="n">
        <f aca="false">INDEX(Assumptions!$C$43:$E$43,$M$9)</f>
        <v>1</v>
      </c>
    </row>
    <row r="16" customFormat="false" ht="15" hidden="false" customHeight="false" outlineLevel="0" collapsed="false">
      <c r="A16" s="4" t="s">
        <v>554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customFormat="false" ht="15" hidden="false" customHeight="false" outlineLevel="0" collapsed="false">
      <c r="A17" s="10" t="s">
        <v>555</v>
      </c>
      <c r="B17" s="36" t="s">
        <v>292</v>
      </c>
      <c r="D17" s="59" t="n">
        <f aca="false">Assumptions!$C$101</f>
        <v>3</v>
      </c>
      <c r="E17" s="59" t="n">
        <f aca="false">Assumptions!$D$101</f>
        <v>6</v>
      </c>
      <c r="F17" s="59" t="n">
        <f aca="false">Assumptions!$E$101</f>
        <v>9</v>
      </c>
      <c r="I17" s="59" t="n">
        <f aca="false">Assumptions!$C$101</f>
        <v>3</v>
      </c>
      <c r="J17" s="59" t="n">
        <f aca="false">Assumptions!$D$101</f>
        <v>6</v>
      </c>
      <c r="K17" s="59" t="n">
        <f aca="false">Assumptions!$E$101</f>
        <v>9</v>
      </c>
      <c r="N17" s="59" t="n">
        <f aca="false">Assumptions!$C$101</f>
        <v>3</v>
      </c>
      <c r="O17" s="59" t="n">
        <f aca="false">Assumptions!$D$101</f>
        <v>6</v>
      </c>
      <c r="P17" s="59" t="n">
        <f aca="false">Assumptions!$E$101</f>
        <v>9</v>
      </c>
    </row>
    <row r="18" customFormat="false" ht="15" hidden="false" customHeight="false" outlineLevel="0" collapsed="false">
      <c r="A18" s="10" t="s">
        <v>556</v>
      </c>
      <c r="B18" s="36" t="s">
        <v>550</v>
      </c>
      <c r="D18" s="49" t="n">
        <f aca="false">D17*Assumptions!$C$63*$C$11</f>
        <v>9</v>
      </c>
      <c r="E18" s="49" t="n">
        <f aca="false">E17*Assumptions!$C$63*$C$11</f>
        <v>18</v>
      </c>
      <c r="F18" s="49" t="n">
        <f aca="false">F17*Assumptions!$C$63*$C$11</f>
        <v>27</v>
      </c>
      <c r="I18" s="49" t="n">
        <f aca="false">I17*Assumptions!$C$63*$H$11</f>
        <v>5.85</v>
      </c>
      <c r="J18" s="49" t="n">
        <f aca="false">J17*Assumptions!$C$63*$H$11</f>
        <v>11.7</v>
      </c>
      <c r="K18" s="49" t="n">
        <f aca="false">K17*Assumptions!$C$63*$H$11</f>
        <v>17.55</v>
      </c>
      <c r="N18" s="49" t="n">
        <f aca="false">N17*Assumptions!$C$63*$M$11</f>
        <v>11.7</v>
      </c>
      <c r="O18" s="49" t="n">
        <f aca="false">O17*Assumptions!$C$63*$M$11</f>
        <v>23.4</v>
      </c>
      <c r="P18" s="49" t="n">
        <f aca="false">P17*Assumptions!$C$63*$M$11</f>
        <v>35.1</v>
      </c>
    </row>
    <row r="19" customFormat="false" ht="15" hidden="false" customHeight="false" outlineLevel="0" collapsed="false">
      <c r="A19" s="10" t="s">
        <v>557</v>
      </c>
      <c r="B19" s="36" t="s">
        <v>550</v>
      </c>
      <c r="D19" s="49" t="n">
        <f aca="false">C21</f>
        <v>0</v>
      </c>
      <c r="E19" s="49" t="n">
        <f aca="false">D21</f>
        <v>9</v>
      </c>
      <c r="F19" s="49" t="n">
        <f aca="false">E21</f>
        <v>26.46</v>
      </c>
      <c r="I19" s="49" t="n">
        <f aca="false">H21</f>
        <v>0</v>
      </c>
      <c r="J19" s="49" t="n">
        <f aca="false">I21</f>
        <v>5.85</v>
      </c>
      <c r="K19" s="49" t="n">
        <f aca="false">J21</f>
        <v>17.0235</v>
      </c>
      <c r="N19" s="49" t="n">
        <f aca="false">M21</f>
        <v>0</v>
      </c>
      <c r="O19" s="49" t="n">
        <f aca="false">N21</f>
        <v>11.7</v>
      </c>
      <c r="P19" s="49" t="n">
        <f aca="false">O21</f>
        <v>34.5735</v>
      </c>
    </row>
    <row r="20" customFormat="false" ht="15" hidden="false" customHeight="false" outlineLevel="0" collapsed="false">
      <c r="A20" s="10" t="s">
        <v>558</v>
      </c>
      <c r="B20" s="36" t="s">
        <v>550</v>
      </c>
      <c r="D20" s="49" t="n">
        <f aca="false">D19*MAX(0,Assumptions!$C$66+$C$13)</f>
        <v>0</v>
      </c>
      <c r="E20" s="49" t="n">
        <f aca="false">E19*MAX(0,Assumptions!$C$66+$C$13)</f>
        <v>0.54</v>
      </c>
      <c r="F20" s="49" t="n">
        <f aca="false">F19*MAX(0,Assumptions!$C$66+$C$13)</f>
        <v>1.5876</v>
      </c>
      <c r="I20" s="49" t="n">
        <f aca="false">I19*MAX(0,Assumptions!$C$66+$H$13)</f>
        <v>0</v>
      </c>
      <c r="J20" s="49" t="n">
        <f aca="false">J19*MAX(0,Assumptions!$C$66+$H$13)</f>
        <v>0.5265</v>
      </c>
      <c r="K20" s="49" t="n">
        <f aca="false">K19*MAX(0,Assumptions!$C$66+$H$13)</f>
        <v>1.532115</v>
      </c>
      <c r="N20" s="49" t="n">
        <f aca="false">N19*MAX(0,Assumptions!$C$66+$M$13)</f>
        <v>0</v>
      </c>
      <c r="O20" s="49" t="n">
        <f aca="false">O19*MAX(0,Assumptions!$C$66+$M$13)</f>
        <v>0.5265</v>
      </c>
      <c r="P20" s="49" t="n">
        <f aca="false">P19*MAX(0,Assumptions!$C$66+$M$13)</f>
        <v>1.5558075</v>
      </c>
    </row>
    <row r="21" customFormat="false" ht="15" hidden="false" customHeight="false" outlineLevel="0" collapsed="false">
      <c r="A21" s="7" t="s">
        <v>559</v>
      </c>
      <c r="B21" s="36" t="s">
        <v>550</v>
      </c>
      <c r="C21" s="75" t="n">
        <v>0</v>
      </c>
      <c r="D21" s="75" t="n">
        <f aca="false">D19+D18-D20</f>
        <v>9</v>
      </c>
      <c r="E21" s="75" t="n">
        <f aca="false">E19+E18-E20</f>
        <v>26.46</v>
      </c>
      <c r="F21" s="75" t="n">
        <f aca="false">F19+F18-F20</f>
        <v>51.8724</v>
      </c>
      <c r="H21" s="75" t="n">
        <v>0</v>
      </c>
      <c r="I21" s="75" t="n">
        <f aca="false">I19+I18-I20</f>
        <v>5.85</v>
      </c>
      <c r="J21" s="75" t="n">
        <f aca="false">J19+J18-J20</f>
        <v>17.0235</v>
      </c>
      <c r="K21" s="75" t="n">
        <f aca="false">K19+K18-K20</f>
        <v>33.041385</v>
      </c>
      <c r="M21" s="75" t="n">
        <v>0</v>
      </c>
      <c r="N21" s="75" t="n">
        <f aca="false">N19+N18-N20</f>
        <v>11.7</v>
      </c>
      <c r="O21" s="75" t="n">
        <f aca="false">O19+O18-O20</f>
        <v>34.5735</v>
      </c>
      <c r="P21" s="75" t="n">
        <f aca="false">P19+P18-P20</f>
        <v>68.1176925</v>
      </c>
    </row>
    <row r="22" customFormat="false" ht="15" hidden="false" customHeight="false" outlineLevel="0" collapsed="false">
      <c r="A22" s="10" t="s">
        <v>560</v>
      </c>
      <c r="B22" s="36" t="s">
        <v>550</v>
      </c>
      <c r="D22" s="49" t="n">
        <f aca="false">(D19+D21)/2</f>
        <v>4.5</v>
      </c>
      <c r="E22" s="49" t="n">
        <f aca="false">(E19+E21)/2</f>
        <v>17.73</v>
      </c>
      <c r="F22" s="49" t="n">
        <f aca="false">(F19+F21)/2</f>
        <v>39.1662</v>
      </c>
      <c r="I22" s="49" t="n">
        <f aca="false">(I19+I21)/2</f>
        <v>2.925</v>
      </c>
      <c r="J22" s="49" t="n">
        <f aca="false">(J19+J21)/2</f>
        <v>11.43675</v>
      </c>
      <c r="K22" s="49" t="n">
        <f aca="false">(K19+K21)/2</f>
        <v>25.0324425</v>
      </c>
      <c r="N22" s="49" t="n">
        <f aca="false">(N19+N21)/2</f>
        <v>5.85</v>
      </c>
      <c r="O22" s="49" t="n">
        <f aca="false">(O19+O21)/2</f>
        <v>23.13675</v>
      </c>
      <c r="P22" s="49" t="n">
        <f aca="false">(P19+P21)/2</f>
        <v>51.34559625</v>
      </c>
    </row>
    <row r="23" customFormat="false" ht="15" hidden="false" customHeight="false" outlineLevel="0" collapsed="false">
      <c r="A23" s="10" t="s">
        <v>561</v>
      </c>
      <c r="B23" s="36" t="s">
        <v>550</v>
      </c>
      <c r="D23" s="49" t="n">
        <f aca="false">D17*Assumptions!$C$64*$C$11</f>
        <v>15</v>
      </c>
      <c r="E23" s="49" t="n">
        <f aca="false">E17*Assumptions!$C$64*$C$11</f>
        <v>30</v>
      </c>
      <c r="F23" s="49" t="n">
        <f aca="false">F17*Assumptions!$C$64*$C$11</f>
        <v>45</v>
      </c>
      <c r="I23" s="49" t="n">
        <f aca="false">I17*Assumptions!$C$64*$H$11</f>
        <v>9.75</v>
      </c>
      <c r="J23" s="49" t="n">
        <f aca="false">J17*Assumptions!$C$64*$H$11</f>
        <v>19.5</v>
      </c>
      <c r="K23" s="49" t="n">
        <f aca="false">K17*Assumptions!$C$64*$H$11</f>
        <v>29.25</v>
      </c>
      <c r="N23" s="49" t="n">
        <f aca="false">N17*Assumptions!$C$64*$M$11</f>
        <v>19.5</v>
      </c>
      <c r="O23" s="49" t="n">
        <f aca="false">O17*Assumptions!$C$64*$M$11</f>
        <v>39</v>
      </c>
      <c r="P23" s="49" t="n">
        <f aca="false">P17*Assumptions!$C$64*$M$11</f>
        <v>58.5</v>
      </c>
    </row>
    <row r="24" customFormat="false" ht="15" hidden="false" customHeight="false" outlineLevel="0" collapsed="false">
      <c r="A24" s="10" t="s">
        <v>562</v>
      </c>
      <c r="B24" s="36" t="s">
        <v>550</v>
      </c>
      <c r="D24" s="49" t="n">
        <f aca="false">C26</f>
        <v>0</v>
      </c>
      <c r="E24" s="49" t="n">
        <f aca="false">D26</f>
        <v>15</v>
      </c>
      <c r="F24" s="49" t="n">
        <f aca="false">E26</f>
        <v>43.65</v>
      </c>
      <c r="I24" s="49" t="n">
        <f aca="false">H26</f>
        <v>0</v>
      </c>
      <c r="J24" s="49" t="n">
        <f aca="false">I26</f>
        <v>9.75</v>
      </c>
      <c r="K24" s="49" t="n">
        <f aca="false">J26</f>
        <v>28.08</v>
      </c>
      <c r="N24" s="49" t="n">
        <f aca="false">M26</f>
        <v>0</v>
      </c>
      <c r="O24" s="49" t="n">
        <f aca="false">N26</f>
        <v>19.5</v>
      </c>
      <c r="P24" s="49" t="n">
        <f aca="false">O26</f>
        <v>57.0375</v>
      </c>
    </row>
    <row r="25" customFormat="false" ht="15" hidden="false" customHeight="false" outlineLevel="0" collapsed="false">
      <c r="A25" s="10" t="s">
        <v>563</v>
      </c>
      <c r="B25" s="36" t="s">
        <v>550</v>
      </c>
      <c r="D25" s="49" t="n">
        <f aca="false">D24*MAX(0,Assumptions!$C$67+$C$13)</f>
        <v>0</v>
      </c>
      <c r="E25" s="49" t="n">
        <f aca="false">E24*MAX(0,Assumptions!$C$67+$C$13)</f>
        <v>1.35</v>
      </c>
      <c r="F25" s="49" t="n">
        <f aca="false">F24*MAX(0,Assumptions!$C$67+$C$13)</f>
        <v>3.9285</v>
      </c>
      <c r="I25" s="49" t="n">
        <f aca="false">I24*MAX(0,Assumptions!$C$67+$H$13)</f>
        <v>0</v>
      </c>
      <c r="J25" s="49" t="n">
        <f aca="false">J24*MAX(0,Assumptions!$C$67+$H$13)</f>
        <v>1.17</v>
      </c>
      <c r="K25" s="49" t="n">
        <f aca="false">K24*MAX(0,Assumptions!$C$67+$H$13)</f>
        <v>3.3696</v>
      </c>
      <c r="N25" s="49" t="n">
        <f aca="false">N24*MAX(0,Assumptions!$C$67+$M$13)</f>
        <v>0</v>
      </c>
      <c r="O25" s="49" t="n">
        <f aca="false">O24*MAX(0,Assumptions!$C$67+$M$13)</f>
        <v>1.4625</v>
      </c>
      <c r="P25" s="49" t="n">
        <f aca="false">P24*MAX(0,Assumptions!$C$67+$M$13)</f>
        <v>4.2778125</v>
      </c>
    </row>
    <row r="26" customFormat="false" ht="15" hidden="false" customHeight="false" outlineLevel="0" collapsed="false">
      <c r="A26" s="7" t="s">
        <v>564</v>
      </c>
      <c r="B26" s="36" t="s">
        <v>550</v>
      </c>
      <c r="C26" s="75" t="n">
        <v>0</v>
      </c>
      <c r="D26" s="75" t="n">
        <f aca="false">D24+D23-D25</f>
        <v>15</v>
      </c>
      <c r="E26" s="75" t="n">
        <f aca="false">E24+E23-E25</f>
        <v>43.65</v>
      </c>
      <c r="F26" s="75" t="n">
        <f aca="false">F24+F23-F25</f>
        <v>84.7215</v>
      </c>
      <c r="H26" s="75" t="n">
        <v>0</v>
      </c>
      <c r="I26" s="75" t="n">
        <f aca="false">I24+I23-I25</f>
        <v>9.75</v>
      </c>
      <c r="J26" s="75" t="n">
        <f aca="false">J24+J23-J25</f>
        <v>28.08</v>
      </c>
      <c r="K26" s="75" t="n">
        <f aca="false">K24+K23-K25</f>
        <v>53.9604</v>
      </c>
      <c r="M26" s="75" t="n">
        <v>0</v>
      </c>
      <c r="N26" s="75" t="n">
        <f aca="false">N24+N23-N25</f>
        <v>19.5</v>
      </c>
      <c r="O26" s="75" t="n">
        <f aca="false">O24+O23-O25</f>
        <v>57.0375</v>
      </c>
      <c r="P26" s="75" t="n">
        <f aca="false">P24+P23-P25</f>
        <v>111.2596875</v>
      </c>
    </row>
    <row r="27" customFormat="false" ht="15" hidden="false" customHeight="false" outlineLevel="0" collapsed="false">
      <c r="A27" s="10" t="s">
        <v>565</v>
      </c>
      <c r="B27" s="36" t="s">
        <v>550</v>
      </c>
      <c r="D27" s="49" t="n">
        <f aca="false">(D24+D26)/2</f>
        <v>7.5</v>
      </c>
      <c r="E27" s="49" t="n">
        <f aca="false">(E24+E26)/2</f>
        <v>29.325</v>
      </c>
      <c r="F27" s="49" t="n">
        <f aca="false">(F24+F26)/2</f>
        <v>64.18575</v>
      </c>
      <c r="I27" s="49" t="n">
        <f aca="false">(I24+I26)/2</f>
        <v>4.875</v>
      </c>
      <c r="J27" s="49" t="n">
        <f aca="false">(J24+J26)/2</f>
        <v>18.915</v>
      </c>
      <c r="K27" s="49" t="n">
        <f aca="false">(K24+K26)/2</f>
        <v>41.0202</v>
      </c>
      <c r="N27" s="49" t="n">
        <f aca="false">(N24+N26)/2</f>
        <v>9.75</v>
      </c>
      <c r="O27" s="49" t="n">
        <f aca="false">(O24+O26)/2</f>
        <v>38.26875</v>
      </c>
      <c r="P27" s="49" t="n">
        <f aca="false">(P24+P26)/2</f>
        <v>84.14859375</v>
      </c>
    </row>
    <row r="28" customFormat="false" ht="15" hidden="false" customHeight="false" outlineLevel="0" collapsed="false">
      <c r="A28" s="10" t="s">
        <v>566</v>
      </c>
      <c r="B28" s="36" t="s">
        <v>550</v>
      </c>
      <c r="D28" s="49" t="n">
        <f aca="false">D17*Assumptions!$C$65*$C$11</f>
        <v>12</v>
      </c>
      <c r="E28" s="49" t="n">
        <f aca="false">E17*Assumptions!$C$65*$C$11</f>
        <v>24</v>
      </c>
      <c r="F28" s="49" t="n">
        <f aca="false">F17*Assumptions!$C$65*$C$11</f>
        <v>36</v>
      </c>
      <c r="I28" s="49" t="n">
        <f aca="false">I17*Assumptions!$C$65*$H$11</f>
        <v>7.8</v>
      </c>
      <c r="J28" s="49" t="n">
        <f aca="false">J17*Assumptions!$C$65*$H$11</f>
        <v>15.6</v>
      </c>
      <c r="K28" s="49" t="n">
        <f aca="false">K17*Assumptions!$C$65*$H$11</f>
        <v>23.4</v>
      </c>
      <c r="N28" s="49" t="n">
        <f aca="false">N17*Assumptions!$C$65*$M$11</f>
        <v>15.6</v>
      </c>
      <c r="O28" s="49" t="n">
        <f aca="false">O17*Assumptions!$C$65*$M$11</f>
        <v>31.2</v>
      </c>
      <c r="P28" s="49" t="n">
        <f aca="false">P17*Assumptions!$C$65*$M$11</f>
        <v>46.8</v>
      </c>
    </row>
    <row r="29" customFormat="false" ht="15" hidden="false" customHeight="false" outlineLevel="0" collapsed="false">
      <c r="A29" s="10" t="s">
        <v>567</v>
      </c>
      <c r="B29" s="36" t="s">
        <v>550</v>
      </c>
      <c r="D29" s="49" t="n">
        <f aca="false">C31</f>
        <v>0</v>
      </c>
      <c r="E29" s="49" t="n">
        <f aca="false">D31</f>
        <v>12</v>
      </c>
      <c r="F29" s="49" t="n">
        <f aca="false">E31</f>
        <v>34.2</v>
      </c>
      <c r="I29" s="49" t="n">
        <f aca="false">H31</f>
        <v>0</v>
      </c>
      <c r="J29" s="49" t="n">
        <f aca="false">I31</f>
        <v>7.8</v>
      </c>
      <c r="K29" s="49" t="n">
        <f aca="false">J31</f>
        <v>21.996</v>
      </c>
      <c r="N29" s="49" t="n">
        <f aca="false">M31</f>
        <v>0</v>
      </c>
      <c r="O29" s="49" t="n">
        <f aca="false">N31</f>
        <v>15.6</v>
      </c>
      <c r="P29" s="49" t="n">
        <f aca="false">O31</f>
        <v>44.694</v>
      </c>
    </row>
    <row r="30" customFormat="false" ht="15" hidden="false" customHeight="false" outlineLevel="0" collapsed="false">
      <c r="A30" s="10" t="s">
        <v>568</v>
      </c>
      <c r="B30" s="36" t="s">
        <v>550</v>
      </c>
      <c r="D30" s="49" t="n">
        <f aca="false">D29*MAX(0,Assumptions!$C$68+$C$13)</f>
        <v>0</v>
      </c>
      <c r="E30" s="49" t="n">
        <f aca="false">E29*MAX(0,Assumptions!$C$68+$C$13)</f>
        <v>1.8</v>
      </c>
      <c r="F30" s="49" t="n">
        <f aca="false">F29*MAX(0,Assumptions!$C$68+$C$13)</f>
        <v>5.13</v>
      </c>
      <c r="I30" s="49" t="n">
        <f aca="false">I29*MAX(0,Assumptions!$C$68+$H$13)</f>
        <v>0</v>
      </c>
      <c r="J30" s="49" t="n">
        <f aca="false">J29*MAX(0,Assumptions!$C$68+$H$13)</f>
        <v>1.404</v>
      </c>
      <c r="K30" s="49" t="n">
        <f aca="false">K29*MAX(0,Assumptions!$C$68+$H$13)</f>
        <v>3.95928</v>
      </c>
      <c r="N30" s="49" t="n">
        <f aca="false">N29*MAX(0,Assumptions!$C$68+$M$13)</f>
        <v>0</v>
      </c>
      <c r="O30" s="49" t="n">
        <f aca="false">O29*MAX(0,Assumptions!$C$68+$M$13)</f>
        <v>2.106</v>
      </c>
      <c r="P30" s="49" t="n">
        <f aca="false">P29*MAX(0,Assumptions!$C$68+$M$13)</f>
        <v>6.03369</v>
      </c>
    </row>
    <row r="31" customFormat="false" ht="15" hidden="false" customHeight="false" outlineLevel="0" collapsed="false">
      <c r="A31" s="7" t="s">
        <v>569</v>
      </c>
      <c r="B31" s="36" t="s">
        <v>550</v>
      </c>
      <c r="C31" s="75" t="n">
        <v>0</v>
      </c>
      <c r="D31" s="75" t="n">
        <f aca="false">D29+D28-D30</f>
        <v>12</v>
      </c>
      <c r="E31" s="75" t="n">
        <f aca="false">E29+E28-E30</f>
        <v>34.2</v>
      </c>
      <c r="F31" s="75" t="n">
        <f aca="false">F29+F28-F30</f>
        <v>65.07</v>
      </c>
      <c r="H31" s="75" t="n">
        <v>0</v>
      </c>
      <c r="I31" s="75" t="n">
        <f aca="false">I29+I28-I30</f>
        <v>7.8</v>
      </c>
      <c r="J31" s="75" t="n">
        <f aca="false">J29+J28-J30</f>
        <v>21.996</v>
      </c>
      <c r="K31" s="75" t="n">
        <f aca="false">K29+K28-K30</f>
        <v>41.43672</v>
      </c>
      <c r="M31" s="75" t="n">
        <v>0</v>
      </c>
      <c r="N31" s="75" t="n">
        <f aca="false">N29+N28-N30</f>
        <v>15.6</v>
      </c>
      <c r="O31" s="75" t="n">
        <f aca="false">O29+O28-O30</f>
        <v>44.694</v>
      </c>
      <c r="P31" s="75" t="n">
        <f aca="false">P29+P28-P30</f>
        <v>85.46031</v>
      </c>
    </row>
    <row r="32" customFormat="false" ht="15" hidden="false" customHeight="false" outlineLevel="0" collapsed="false">
      <c r="A32" s="10" t="s">
        <v>570</v>
      </c>
      <c r="B32" s="36" t="s">
        <v>550</v>
      </c>
      <c r="D32" s="49" t="n">
        <f aca="false">(D29+D31)/2</f>
        <v>6</v>
      </c>
      <c r="E32" s="49" t="n">
        <f aca="false">(E29+E31)/2</f>
        <v>23.1</v>
      </c>
      <c r="F32" s="49" t="n">
        <f aca="false">(F29+F31)/2</f>
        <v>49.635</v>
      </c>
      <c r="I32" s="49" t="n">
        <f aca="false">(I29+I31)/2</f>
        <v>3.9</v>
      </c>
      <c r="J32" s="49" t="n">
        <f aca="false">(J29+J31)/2</f>
        <v>14.898</v>
      </c>
      <c r="K32" s="49" t="n">
        <f aca="false">(K29+K31)/2</f>
        <v>31.71636</v>
      </c>
      <c r="N32" s="49" t="n">
        <f aca="false">(N29+N31)/2</f>
        <v>7.8</v>
      </c>
      <c r="O32" s="49" t="n">
        <f aca="false">(O29+O31)/2</f>
        <v>30.147</v>
      </c>
      <c r="P32" s="49" t="n">
        <f aca="false">(P29+P31)/2</f>
        <v>65.077155</v>
      </c>
    </row>
    <row r="33" customFormat="false" ht="15" hidden="false" customHeight="false" outlineLevel="0" collapsed="false">
      <c r="A33" s="10" t="s">
        <v>571</v>
      </c>
      <c r="B33" s="36" t="s">
        <v>550</v>
      </c>
      <c r="D33" s="49" t="n">
        <f aca="false">D18+D23+D28</f>
        <v>36</v>
      </c>
      <c r="E33" s="49" t="n">
        <f aca="false">E18+E23+E28</f>
        <v>72</v>
      </c>
      <c r="F33" s="49" t="n">
        <f aca="false">F18+F23+F28</f>
        <v>108</v>
      </c>
      <c r="I33" s="49" t="n">
        <f aca="false">I18+I23+I28</f>
        <v>23.4</v>
      </c>
      <c r="J33" s="49" t="n">
        <f aca="false">J18+J23+J28</f>
        <v>46.8</v>
      </c>
      <c r="K33" s="49" t="n">
        <f aca="false">K18+K23+K28</f>
        <v>70.2</v>
      </c>
      <c r="N33" s="49" t="n">
        <f aca="false">N18+N23+N28</f>
        <v>46.8</v>
      </c>
      <c r="O33" s="49" t="n">
        <f aca="false">O18+O23+O28</f>
        <v>93.6</v>
      </c>
      <c r="P33" s="49" t="n">
        <f aca="false">P18+P23+P28</f>
        <v>140.4</v>
      </c>
    </row>
    <row r="34" customFormat="false" ht="15" hidden="false" customHeight="false" outlineLevel="0" collapsed="false">
      <c r="A34" s="76" t="s">
        <v>572</v>
      </c>
      <c r="B34" s="77" t="s">
        <v>550</v>
      </c>
      <c r="C34" s="78" t="n">
        <f aca="false">C21+C26+C31</f>
        <v>0</v>
      </c>
      <c r="D34" s="78" t="n">
        <f aca="false">D21+D26+D31</f>
        <v>36</v>
      </c>
      <c r="E34" s="78" t="n">
        <f aca="false">E21+E26+E31</f>
        <v>104.31</v>
      </c>
      <c r="F34" s="78" t="n">
        <f aca="false">F21+F26+F31</f>
        <v>201.6639</v>
      </c>
      <c r="H34" s="78" t="n">
        <f aca="false">H21+H26+H31</f>
        <v>0</v>
      </c>
      <c r="I34" s="78" t="n">
        <f aca="false">I21+I26+I31</f>
        <v>23.4</v>
      </c>
      <c r="J34" s="78" t="n">
        <f aca="false">J21+J26+J31</f>
        <v>67.0995</v>
      </c>
      <c r="K34" s="78" t="n">
        <f aca="false">K21+K26+K31</f>
        <v>128.438505</v>
      </c>
      <c r="M34" s="78" t="n">
        <f aca="false">M21+M26+M31</f>
        <v>0</v>
      </c>
      <c r="N34" s="78" t="n">
        <f aca="false">N21+N26+N31</f>
        <v>46.8</v>
      </c>
      <c r="O34" s="78" t="n">
        <f aca="false">O21+O26+O31</f>
        <v>136.305</v>
      </c>
      <c r="P34" s="78" t="n">
        <f aca="false">P21+P26+P31</f>
        <v>264.83769</v>
      </c>
    </row>
    <row r="36" customFormat="false" ht="15" hidden="false" customHeight="false" outlineLevel="0" collapsed="false">
      <c r="A36" s="4" t="s">
        <v>573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customFormat="false" ht="15" hidden="false" customHeight="false" outlineLevel="0" collapsed="false">
      <c r="A37" s="10" t="s">
        <v>574</v>
      </c>
      <c r="B37" s="36" t="s">
        <v>137</v>
      </c>
      <c r="D37" s="54" t="n">
        <f aca="false">(1+Assumptions!$C$22)^0*(1+Assumptions!$C$23)^0*$C$12</f>
        <v>1</v>
      </c>
      <c r="E37" s="54" t="n">
        <f aca="false">(1+Assumptions!$C$22)^1*(1+Assumptions!$C$23)^1*$C$12</f>
        <v>1.0609</v>
      </c>
      <c r="F37" s="54" t="n">
        <f aca="false">(1+Assumptions!$C$22)^2*(1+Assumptions!$C$23)^2*$C$12</f>
        <v>1.12550881</v>
      </c>
      <c r="I37" s="54" t="n">
        <f aca="false">(1+Assumptions!$C$22)^0*(1+Assumptions!$C$23)^0*$H$12</f>
        <v>0.9</v>
      </c>
      <c r="J37" s="54" t="n">
        <f aca="false">(1+Assumptions!$C$22)^1*(1+Assumptions!$C$23)^1*$H$12</f>
        <v>0.95481</v>
      </c>
      <c r="K37" s="54" t="n">
        <f aca="false">(1+Assumptions!$C$22)^2*(1+Assumptions!$C$23)^2*$H$12</f>
        <v>1.012957929</v>
      </c>
      <c r="N37" s="54" t="n">
        <f aca="false">(1+Assumptions!$C$22)^0*(1+Assumptions!$C$23)^0*$M$12</f>
        <v>1.08</v>
      </c>
      <c r="O37" s="54" t="n">
        <f aca="false">(1+Assumptions!$C$22)^1*(1+Assumptions!$C$23)^1*$M$12</f>
        <v>1.145772</v>
      </c>
      <c r="P37" s="54" t="n">
        <f aca="false">(1+Assumptions!$C$22)^2*(1+Assumptions!$C$23)^2*$M$12</f>
        <v>1.2155495148</v>
      </c>
    </row>
    <row r="38" customFormat="false" ht="15" hidden="false" customHeight="false" outlineLevel="0" collapsed="false">
      <c r="A38" s="10" t="s">
        <v>575</v>
      </c>
      <c r="B38" s="36" t="s">
        <v>169</v>
      </c>
      <c r="D38" s="53" t="n">
        <f aca="false">Assumptions!$C$51*D37</f>
        <v>65000</v>
      </c>
      <c r="E38" s="53" t="n">
        <f aca="false">Assumptions!$C$51*E37</f>
        <v>68958.5</v>
      </c>
      <c r="F38" s="53" t="n">
        <f aca="false">Assumptions!$C$51*F37</f>
        <v>73158.07265</v>
      </c>
      <c r="I38" s="53" t="n">
        <f aca="false">Assumptions!$C$51*I37</f>
        <v>58500</v>
      </c>
      <c r="J38" s="53" t="n">
        <f aca="false">Assumptions!$C$51*J37</f>
        <v>62062.65</v>
      </c>
      <c r="K38" s="53" t="n">
        <f aca="false">Assumptions!$C$51*K37</f>
        <v>65842.265385</v>
      </c>
      <c r="N38" s="53" t="n">
        <f aca="false">Assumptions!$C$51*N37</f>
        <v>70200</v>
      </c>
      <c r="O38" s="53" t="n">
        <f aca="false">Assumptions!$C$51*O37</f>
        <v>74475.18</v>
      </c>
      <c r="P38" s="53" t="n">
        <f aca="false">Assumptions!$C$51*P37</f>
        <v>79010.718462</v>
      </c>
    </row>
    <row r="39" customFormat="false" ht="15" hidden="false" customHeight="false" outlineLevel="0" collapsed="false">
      <c r="A39" s="10" t="s">
        <v>576</v>
      </c>
      <c r="B39" s="36" t="s">
        <v>169</v>
      </c>
      <c r="D39" s="53" t="n">
        <f aca="false">Assumptions!$D$51*D37</f>
        <v>22000</v>
      </c>
      <c r="E39" s="53" t="n">
        <f aca="false">Assumptions!$D$51*E37</f>
        <v>23339.8</v>
      </c>
      <c r="F39" s="53" t="n">
        <f aca="false">Assumptions!$D$51*F37</f>
        <v>24761.19382</v>
      </c>
      <c r="I39" s="53" t="n">
        <f aca="false">Assumptions!$D$51*I37</f>
        <v>19800</v>
      </c>
      <c r="J39" s="53" t="n">
        <f aca="false">Assumptions!$D$51*J37</f>
        <v>21005.82</v>
      </c>
      <c r="K39" s="53" t="n">
        <f aca="false">Assumptions!$D$51*K37</f>
        <v>22285.074438</v>
      </c>
      <c r="N39" s="53" t="n">
        <f aca="false">Assumptions!$D$51*N37</f>
        <v>23760</v>
      </c>
      <c r="O39" s="53" t="n">
        <f aca="false">Assumptions!$D$51*O37</f>
        <v>25206.984</v>
      </c>
      <c r="P39" s="53" t="n">
        <f aca="false">Assumptions!$D$51*P37</f>
        <v>26742.0893256</v>
      </c>
    </row>
    <row r="40" customFormat="false" ht="15" hidden="false" customHeight="false" outlineLevel="0" collapsed="false">
      <c r="A40" s="10" t="s">
        <v>577</v>
      </c>
      <c r="B40" s="36" t="s">
        <v>169</v>
      </c>
      <c r="D40" s="53" t="n">
        <f aca="false">Assumptions!$E$51*D37</f>
        <v>4800</v>
      </c>
      <c r="E40" s="53" t="n">
        <f aca="false">Assumptions!$E$51*E37</f>
        <v>5092.32</v>
      </c>
      <c r="F40" s="53" t="n">
        <f aca="false">Assumptions!$E$51*F37</f>
        <v>5402.442288</v>
      </c>
      <c r="I40" s="53" t="n">
        <f aca="false">Assumptions!$E$51*I37</f>
        <v>4320</v>
      </c>
      <c r="J40" s="53" t="n">
        <f aca="false">Assumptions!$E$51*J37</f>
        <v>4583.088</v>
      </c>
      <c r="K40" s="53" t="n">
        <f aca="false">Assumptions!$E$51*K37</f>
        <v>4862.1980592</v>
      </c>
      <c r="N40" s="53" t="n">
        <f aca="false">Assumptions!$E$51*N37</f>
        <v>5184</v>
      </c>
      <c r="O40" s="53" t="n">
        <f aca="false">Assumptions!$E$51*O37</f>
        <v>5499.7056</v>
      </c>
      <c r="P40" s="53" t="n">
        <f aca="false">Assumptions!$E$51*P37</f>
        <v>5834.63767104</v>
      </c>
    </row>
    <row r="41" customFormat="false" ht="15" hidden="false" customHeight="false" outlineLevel="0" collapsed="false">
      <c r="A41" s="10" t="s">
        <v>578</v>
      </c>
      <c r="B41" s="36" t="s">
        <v>169</v>
      </c>
      <c r="D41" s="53" t="n">
        <f aca="false">D22*D38</f>
        <v>292500</v>
      </c>
      <c r="E41" s="53" t="n">
        <f aca="false">E22*E38</f>
        <v>1222634.205</v>
      </c>
      <c r="F41" s="53" t="n">
        <f aca="false">F22*F38</f>
        <v>2865323.70502443</v>
      </c>
      <c r="I41" s="53" t="n">
        <f aca="false">I22*I38</f>
        <v>171112.5</v>
      </c>
      <c r="J41" s="53" t="n">
        <f aca="false">J22*J38</f>
        <v>709795.0123875</v>
      </c>
      <c r="K41" s="53" t="n">
        <f aca="false">K22*K38</f>
        <v>1648192.72231975</v>
      </c>
      <c r="N41" s="53" t="n">
        <f aca="false">N22*N38</f>
        <v>410670</v>
      </c>
      <c r="O41" s="53" t="n">
        <f aca="false">O22*O38</f>
        <v>1723113.620865</v>
      </c>
      <c r="P41" s="53" t="n">
        <f aca="false">P22*P38</f>
        <v>4056852.44957227</v>
      </c>
    </row>
    <row r="42" customFormat="false" ht="15" hidden="false" customHeight="false" outlineLevel="0" collapsed="false">
      <c r="A42" s="10" t="s">
        <v>579</v>
      </c>
      <c r="B42" s="36" t="s">
        <v>169</v>
      </c>
      <c r="D42" s="53" t="n">
        <f aca="false">D27*D39</f>
        <v>165000</v>
      </c>
      <c r="E42" s="53" t="n">
        <f aca="false">E27*E39</f>
        <v>684439.635</v>
      </c>
      <c r="F42" s="53" t="n">
        <f aca="false">F27*F39</f>
        <v>1589315.79623206</v>
      </c>
      <c r="I42" s="53" t="n">
        <f aca="false">I27*I39</f>
        <v>96525</v>
      </c>
      <c r="J42" s="53" t="n">
        <f aca="false">J27*J39</f>
        <v>397325.0853</v>
      </c>
      <c r="K42" s="53" t="n">
        <f aca="false">K27*K39</f>
        <v>914138.210461648</v>
      </c>
      <c r="N42" s="53" t="n">
        <f aca="false">N27*N39</f>
        <v>231660</v>
      </c>
      <c r="O42" s="53" t="n">
        <f aca="false">O27*O39</f>
        <v>964639.76895</v>
      </c>
      <c r="P42" s="53" t="n">
        <f aca="false">P27*P39</f>
        <v>2250309.21068613</v>
      </c>
    </row>
    <row r="43" customFormat="false" ht="15" hidden="false" customHeight="false" outlineLevel="0" collapsed="false">
      <c r="A43" s="10" t="s">
        <v>580</v>
      </c>
      <c r="B43" s="36" t="s">
        <v>169</v>
      </c>
      <c r="D43" s="53" t="n">
        <f aca="false">D32*D40</f>
        <v>28800</v>
      </c>
      <c r="E43" s="53" t="n">
        <f aca="false">E32*E40</f>
        <v>117632.592</v>
      </c>
      <c r="F43" s="53" t="n">
        <f aca="false">F32*F40</f>
        <v>268150.22296488</v>
      </c>
      <c r="I43" s="53" t="n">
        <f aca="false">I32*I40</f>
        <v>16848</v>
      </c>
      <c r="J43" s="53" t="n">
        <f aca="false">J32*J40</f>
        <v>68278.845024</v>
      </c>
      <c r="K43" s="53" t="n">
        <f aca="false">K32*K40</f>
        <v>154211.224036889</v>
      </c>
      <c r="N43" s="53" t="n">
        <f aca="false">N32*N40</f>
        <v>40435.2</v>
      </c>
      <c r="O43" s="53" t="n">
        <f aca="false">O32*O40</f>
        <v>165799.6247232</v>
      </c>
      <c r="P43" s="53" t="n">
        <f aca="false">P32*P40</f>
        <v>379701.620087109</v>
      </c>
    </row>
    <row r="44" customFormat="false" ht="15" hidden="false" customHeight="false" outlineLevel="0" collapsed="false">
      <c r="A44" s="7" t="s">
        <v>581</v>
      </c>
      <c r="B44" s="36" t="s">
        <v>169</v>
      </c>
      <c r="D44" s="52" t="n">
        <f aca="false">D41+D42+D43</f>
        <v>486300</v>
      </c>
      <c r="E44" s="52" t="n">
        <f aca="false">E41+E42+E43</f>
        <v>2024706.432</v>
      </c>
      <c r="F44" s="52" t="n">
        <f aca="false">F41+F42+F43</f>
        <v>4722789.72422137</v>
      </c>
      <c r="I44" s="52" t="n">
        <f aca="false">I41+I42+I43</f>
        <v>284485.5</v>
      </c>
      <c r="J44" s="52" t="n">
        <f aca="false">J41+J42+J43</f>
        <v>1175398.9427115</v>
      </c>
      <c r="K44" s="52" t="n">
        <f aca="false">K41+K42+K43</f>
        <v>2716542.15681829</v>
      </c>
      <c r="N44" s="52" t="n">
        <f aca="false">N41+N42+N43</f>
        <v>682765.2</v>
      </c>
      <c r="O44" s="52" t="n">
        <f aca="false">O41+O42+O43</f>
        <v>2853553.0145382</v>
      </c>
      <c r="P44" s="52" t="n">
        <f aca="false">P41+P42+P43</f>
        <v>6686863.28034551</v>
      </c>
    </row>
    <row r="45" customFormat="false" ht="15" hidden="false" customHeight="false" outlineLevel="0" collapsed="false">
      <c r="A45" s="10" t="s">
        <v>582</v>
      </c>
      <c r="B45" s="36" t="s">
        <v>169</v>
      </c>
      <c r="D45" s="53" t="n">
        <f aca="false">-D44*Assumptions!$C$57</f>
        <v>-0</v>
      </c>
      <c r="E45" s="53" t="n">
        <f aca="false">-E44*Assumptions!$C$57</f>
        <v>-0</v>
      </c>
      <c r="F45" s="53" t="n">
        <f aca="false">-F44*Assumptions!$C$57</f>
        <v>-0</v>
      </c>
      <c r="I45" s="53" t="n">
        <f aca="false">-I44*Assumptions!$C$57</f>
        <v>-0</v>
      </c>
      <c r="J45" s="53" t="n">
        <f aca="false">-J44*Assumptions!$C$57</f>
        <v>-0</v>
      </c>
      <c r="K45" s="53" t="n">
        <f aca="false">-K44*Assumptions!$C$57</f>
        <v>-0</v>
      </c>
      <c r="N45" s="53" t="n">
        <f aca="false">-N44*Assumptions!$C$57</f>
        <v>-0</v>
      </c>
      <c r="O45" s="53" t="n">
        <f aca="false">-O44*Assumptions!$C$57</f>
        <v>-0</v>
      </c>
      <c r="P45" s="53" t="n">
        <f aca="false">-P44*Assumptions!$C$57</f>
        <v>-0</v>
      </c>
    </row>
    <row r="46" customFormat="false" ht="15" hidden="false" customHeight="false" outlineLevel="0" collapsed="false">
      <c r="A46" s="7" t="s">
        <v>583</v>
      </c>
      <c r="B46" s="36" t="s">
        <v>169</v>
      </c>
      <c r="D46" s="52" t="n">
        <f aca="false">D44+D45</f>
        <v>486300</v>
      </c>
      <c r="E46" s="52" t="n">
        <f aca="false">E44+E45</f>
        <v>2024706.432</v>
      </c>
      <c r="F46" s="52" t="n">
        <f aca="false">F44+F45</f>
        <v>4722789.72422137</v>
      </c>
      <c r="I46" s="52" t="n">
        <f aca="false">I44+I45</f>
        <v>284485.5</v>
      </c>
      <c r="J46" s="52" t="n">
        <f aca="false">J44+J45</f>
        <v>1175398.9427115</v>
      </c>
      <c r="K46" s="52" t="n">
        <f aca="false">K44+K45</f>
        <v>2716542.15681829</v>
      </c>
      <c r="N46" s="52" t="n">
        <f aca="false">N44+N45</f>
        <v>682765.2</v>
      </c>
      <c r="O46" s="52" t="n">
        <f aca="false">O44+O45</f>
        <v>2853553.0145382</v>
      </c>
      <c r="P46" s="52" t="n">
        <f aca="false">P44+P45</f>
        <v>6686863.28034551</v>
      </c>
    </row>
    <row r="47" customFormat="false" ht="15" hidden="false" customHeight="false" outlineLevel="0" collapsed="false">
      <c r="A47" s="10" t="s">
        <v>584</v>
      </c>
      <c r="B47" s="36" t="s">
        <v>169</v>
      </c>
      <c r="D47" s="53" t="n">
        <f aca="false">(D18*Assumptions!$C$52+D23*Assumptions!$D$52+D28*Assumptions!$E$52)*Assumptions!$C$58</f>
        <v>558000</v>
      </c>
      <c r="E47" s="53" t="n">
        <f aca="false">(E18*Assumptions!$C$52+E23*Assumptions!$D$52+E28*Assumptions!$E$52)*Assumptions!$C$58</f>
        <v>1116000</v>
      </c>
      <c r="F47" s="53" t="n">
        <f aca="false">(F18*Assumptions!$C$52+F23*Assumptions!$D$52+F28*Assumptions!$E$52)*Assumptions!$C$58</f>
        <v>1674000</v>
      </c>
      <c r="I47" s="53" t="n">
        <f aca="false">(I18*Assumptions!$C$52+I23*Assumptions!$D$52+I28*Assumptions!$E$52)*Assumptions!$C$58</f>
        <v>362700</v>
      </c>
      <c r="J47" s="53" t="n">
        <f aca="false">(J18*Assumptions!$C$52+J23*Assumptions!$D$52+J28*Assumptions!$E$52)*Assumptions!$C$58</f>
        <v>725400</v>
      </c>
      <c r="K47" s="53" t="n">
        <f aca="false">(K18*Assumptions!$C$52+K23*Assumptions!$D$52+K28*Assumptions!$E$52)*Assumptions!$C$58</f>
        <v>1088100</v>
      </c>
      <c r="N47" s="53" t="n">
        <f aca="false">(N18*Assumptions!$C$52+N23*Assumptions!$D$52+N28*Assumptions!$E$52)*Assumptions!$C$58</f>
        <v>725400</v>
      </c>
      <c r="O47" s="53" t="n">
        <f aca="false">(O18*Assumptions!$C$52+O23*Assumptions!$D$52+O28*Assumptions!$E$52)*Assumptions!$C$58</f>
        <v>1450800</v>
      </c>
      <c r="P47" s="53" t="n">
        <f aca="false">(P18*Assumptions!$C$52+P23*Assumptions!$D$52+P28*Assumptions!$E$52)*Assumptions!$C$58</f>
        <v>2176200</v>
      </c>
    </row>
    <row r="48" customFormat="false" ht="15" hidden="false" customHeight="false" outlineLevel="0" collapsed="false">
      <c r="A48" s="10" t="s">
        <v>585</v>
      </c>
      <c r="B48" s="36" t="s">
        <v>169</v>
      </c>
      <c r="D48" s="53" t="n">
        <f aca="false">D17*Assumptions!$C$61</f>
        <v>0</v>
      </c>
      <c r="E48" s="53" t="n">
        <f aca="false">E17*Assumptions!$C$61</f>
        <v>0</v>
      </c>
      <c r="F48" s="53" t="n">
        <f aca="false">F17*Assumptions!$C$61</f>
        <v>0</v>
      </c>
      <c r="I48" s="53" t="n">
        <f aca="false">I17*Assumptions!$C$61</f>
        <v>0</v>
      </c>
      <c r="J48" s="53" t="n">
        <f aca="false">J17*Assumptions!$C$61</f>
        <v>0</v>
      </c>
      <c r="K48" s="53" t="n">
        <f aca="false">K17*Assumptions!$C$61</f>
        <v>0</v>
      </c>
      <c r="N48" s="53" t="n">
        <f aca="false">N17*Assumptions!$C$61</f>
        <v>0</v>
      </c>
      <c r="O48" s="53" t="n">
        <f aca="false">O17*Assumptions!$C$61</f>
        <v>0</v>
      </c>
      <c r="P48" s="53" t="n">
        <f aca="false">P17*Assumptions!$C$61</f>
        <v>0</v>
      </c>
    </row>
    <row r="49" customFormat="false" ht="15" hidden="false" customHeight="false" outlineLevel="0" collapsed="false">
      <c r="A49" s="76" t="s">
        <v>586</v>
      </c>
      <c r="B49" s="77" t="s">
        <v>169</v>
      </c>
      <c r="C49" s="79" t="n">
        <v>0</v>
      </c>
      <c r="D49" s="79" t="n">
        <f aca="false">D46+D47+D48</f>
        <v>1044300</v>
      </c>
      <c r="E49" s="79" t="n">
        <f aca="false">E46+E47+E48</f>
        <v>3140706.432</v>
      </c>
      <c r="F49" s="79" t="n">
        <f aca="false">F46+F47+F48</f>
        <v>6396789.72422137</v>
      </c>
      <c r="H49" s="79" t="n">
        <v>0</v>
      </c>
      <c r="I49" s="79" t="n">
        <f aca="false">I46+I47+I48</f>
        <v>647185.5</v>
      </c>
      <c r="J49" s="79" t="n">
        <f aca="false">J46+J47+J48</f>
        <v>1900798.9427115</v>
      </c>
      <c r="K49" s="79" t="n">
        <f aca="false">K46+K47+K48</f>
        <v>3804642.15681829</v>
      </c>
      <c r="M49" s="79" t="n">
        <v>0</v>
      </c>
      <c r="N49" s="79" t="n">
        <f aca="false">N46+N47+N48</f>
        <v>1408165.2</v>
      </c>
      <c r="O49" s="79" t="n">
        <f aca="false">O46+O47+O48</f>
        <v>4304353.0145382</v>
      </c>
      <c r="P49" s="79" t="n">
        <f aca="false">P46+P47+P48</f>
        <v>8863063.28034551</v>
      </c>
    </row>
    <row r="50" customFormat="false" ht="15" hidden="false" customHeight="false" outlineLevel="0" collapsed="false">
      <c r="A50" s="7" t="s">
        <v>587</v>
      </c>
      <c r="B50" s="36" t="s">
        <v>169</v>
      </c>
      <c r="C50" s="52" t="n">
        <v>0</v>
      </c>
      <c r="D50" s="52" t="n">
        <f aca="false">(D21*D38+D26*D39+D31*D40)*(1-Assumptions!$C$57)</f>
        <v>972600</v>
      </c>
      <c r="E50" s="52" t="n">
        <f aca="false">(E21*E38+E26*E39+E31*E40)*(1-Assumptions!$C$57)</f>
        <v>3017581.524</v>
      </c>
      <c r="F50" s="52" t="n">
        <f aca="false">(F21*F38+F26*F39+F31*F40)*(1-Assumptions!$C$57)</f>
        <v>6244227.20963115</v>
      </c>
      <c r="H50" s="52" t="n">
        <v>0</v>
      </c>
      <c r="I50" s="52" t="n">
        <f aca="false">(I21*I38+I26*I39+I31*I40)*(1-Assumptions!$C$57)</f>
        <v>568971</v>
      </c>
      <c r="J50" s="52" t="n">
        <f aca="false">(J21*J38+J26*J39+J31*J40)*(1-Assumptions!$C$57)</f>
        <v>1747176.551523</v>
      </c>
      <c r="K50" s="52" t="n">
        <f aca="false">(K21*K38+K26*K39+K31*K40)*(1-Assumptions!$C$57)</f>
        <v>3579504.71012583</v>
      </c>
      <c r="M50" s="52" t="n">
        <v>0</v>
      </c>
      <c r="N50" s="52" t="n">
        <f aca="false">(N21*N38+N26*N39+N31*N40)*(1-Assumptions!$C$57)</f>
        <v>1365530.4</v>
      </c>
      <c r="O50" s="52" t="n">
        <f aca="false">(O21*O38+O26*O39+O31*O40)*(1-Assumptions!$C$57)</f>
        <v>4258414.8277164</v>
      </c>
      <c r="P50" s="52" t="n">
        <f aca="false">(P21*P38+P26*P39+P31*P40)*(1-Assumptions!$C$57)</f>
        <v>8855974.26996669</v>
      </c>
    </row>
    <row r="52" customFormat="false" ht="15" hidden="false" customHeight="false" outlineLevel="0" collapsed="false">
      <c r="A52" s="4" t="s">
        <v>588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customFormat="false" ht="15" hidden="false" customHeight="false" outlineLevel="0" collapsed="false">
      <c r="A53" s="10" t="s">
        <v>589</v>
      </c>
      <c r="B53" s="36" t="s">
        <v>169</v>
      </c>
      <c r="D53" s="53" t="n">
        <f aca="false">D46*Assumptions!$C$31</f>
        <v>58356</v>
      </c>
      <c r="E53" s="53" t="n">
        <f aca="false">E46*Assumptions!$C$31</f>
        <v>242964.77184</v>
      </c>
      <c r="F53" s="53" t="n">
        <f aca="false">F46*Assumptions!$C$31</f>
        <v>566734.766906565</v>
      </c>
      <c r="I53" s="53" t="n">
        <f aca="false">I46*Assumptions!$C$31</f>
        <v>34138.26</v>
      </c>
      <c r="J53" s="53" t="n">
        <f aca="false">J46*Assumptions!$C$31</f>
        <v>141047.87312538</v>
      </c>
      <c r="K53" s="53" t="n">
        <f aca="false">K46*Assumptions!$C$31</f>
        <v>325985.058818195</v>
      </c>
      <c r="N53" s="53" t="n">
        <f aca="false">N46*Assumptions!$C$31</f>
        <v>81931.824</v>
      </c>
      <c r="O53" s="53" t="n">
        <f aca="false">O46*Assumptions!$C$31</f>
        <v>342426.361744584</v>
      </c>
      <c r="P53" s="53" t="n">
        <f aca="false">P46*Assumptions!$C$31</f>
        <v>802423.593641461</v>
      </c>
    </row>
    <row r="54" customFormat="false" ht="15" hidden="false" customHeight="false" outlineLevel="0" collapsed="false">
      <c r="A54" s="10" t="s">
        <v>590</v>
      </c>
      <c r="B54" s="36" t="s">
        <v>169</v>
      </c>
      <c r="D54" s="53" t="n">
        <f aca="false">D47*(1-Assumptions!$C$59)</f>
        <v>390600</v>
      </c>
      <c r="E54" s="53" t="n">
        <f aca="false">E47*(1-Assumptions!$C$59)</f>
        <v>781200</v>
      </c>
      <c r="F54" s="53" t="n">
        <f aca="false">F47*(1-Assumptions!$C$59)</f>
        <v>1171800</v>
      </c>
      <c r="I54" s="53" t="n">
        <f aca="false">I47*(1-Assumptions!$C$59)</f>
        <v>253890</v>
      </c>
      <c r="J54" s="53" t="n">
        <f aca="false">J47*(1-Assumptions!$C$59)</f>
        <v>507780</v>
      </c>
      <c r="K54" s="53" t="n">
        <f aca="false">K47*(1-Assumptions!$C$59)</f>
        <v>761670</v>
      </c>
      <c r="N54" s="53" t="n">
        <f aca="false">N47*(1-Assumptions!$C$59)</f>
        <v>507780</v>
      </c>
      <c r="O54" s="53" t="n">
        <f aca="false">O47*(1-Assumptions!$C$59)</f>
        <v>1015560</v>
      </c>
      <c r="P54" s="53" t="n">
        <f aca="false">P47*(1-Assumptions!$C$59)</f>
        <v>1523340</v>
      </c>
    </row>
    <row r="55" customFormat="false" ht="15" hidden="false" customHeight="false" outlineLevel="0" collapsed="false">
      <c r="A55" s="10" t="s">
        <v>591</v>
      </c>
      <c r="B55" s="36" t="s">
        <v>169</v>
      </c>
      <c r="D55" s="53" t="n">
        <f aca="false">(D22*Assumptions!$C$53+D27*Assumptions!$D$53+D32*Assumptions!$E$53)*Assumptions!$C$62*(1+Assumptions!$C$21)^0</f>
        <v>46500</v>
      </c>
      <c r="E55" s="53" t="n">
        <f aca="false">(E22*Assumptions!$C$53+E27*Assumptions!$D$53+E32*Assumptions!$E$53)*Assumptions!$C$62*(1+Assumptions!$C$21)^1</f>
        <v>189742.8</v>
      </c>
      <c r="F55" s="53" t="n">
        <f aca="false">(F22*Assumptions!$C$53+F27*Assumptions!$D$53+F32*Assumptions!$E$53)*Assumptions!$C$62*(1+Assumptions!$C$21)^2</f>
        <v>433746.85536</v>
      </c>
      <c r="I55" s="53" t="n">
        <f aca="false">(I22*Assumptions!$C$53+I27*Assumptions!$D$53+I32*Assumptions!$E$53)*Assumptions!$C$62*(1+Assumptions!$C$21)^0</f>
        <v>30225</v>
      </c>
      <c r="J55" s="53" t="n">
        <f aca="false">(J22*Assumptions!$C$53+J27*Assumptions!$D$53+J32*Assumptions!$E$53)*Assumptions!$C$62*(1+Assumptions!$C$21)^1</f>
        <v>122389.8</v>
      </c>
      <c r="K55" s="53" t="n">
        <f aca="false">(K22*Assumptions!$C$53+K27*Assumptions!$D$53+K32*Assumptions!$E$53)*Assumptions!$C$62*(1+Assumptions!$C$21)^2</f>
        <v>277211.13264</v>
      </c>
      <c r="N55" s="53" t="n">
        <f aca="false">(N22*Assumptions!$C$53+N27*Assumptions!$D$53+N32*Assumptions!$E$53)*Assumptions!$C$62*(1+Assumptions!$C$21)^0</f>
        <v>60450</v>
      </c>
      <c r="O55" s="53" t="n">
        <f aca="false">(O22*Assumptions!$C$53+O27*Assumptions!$D$53+O32*Assumptions!$E$53)*Assumptions!$C$62*(1+Assumptions!$C$21)^1</f>
        <v>247608.66</v>
      </c>
      <c r="P55" s="53" t="n">
        <f aca="false">(P22*Assumptions!$C$53+P27*Assumptions!$D$53+P32*Assumptions!$E$53)*Assumptions!$C$62*(1+Assumptions!$C$21)^2</f>
        <v>568639.368648</v>
      </c>
    </row>
    <row r="56" customFormat="false" ht="15" hidden="false" customHeight="false" outlineLevel="0" collapsed="false">
      <c r="A56" s="7" t="s">
        <v>592</v>
      </c>
      <c r="B56" s="36" t="s">
        <v>169</v>
      </c>
      <c r="C56" s="52" t="n">
        <f aca="false">C53+C54+C55</f>
        <v>0</v>
      </c>
      <c r="D56" s="52" t="n">
        <f aca="false">D53+D54+D55</f>
        <v>495456</v>
      </c>
      <c r="E56" s="52" t="n">
        <f aca="false">E53+E54+E55</f>
        <v>1213907.57184</v>
      </c>
      <c r="F56" s="52" t="n">
        <f aca="false">F53+F54+F55</f>
        <v>2172281.62226657</v>
      </c>
      <c r="H56" s="52" t="n">
        <f aca="false">H53+H54+H55</f>
        <v>0</v>
      </c>
      <c r="I56" s="52" t="n">
        <f aca="false">I53+I54+I55</f>
        <v>318253.26</v>
      </c>
      <c r="J56" s="52" t="n">
        <f aca="false">J53+J54+J55</f>
        <v>771217.67312538</v>
      </c>
      <c r="K56" s="52" t="n">
        <f aca="false">K53+K54+K55</f>
        <v>1364866.19145819</v>
      </c>
      <c r="M56" s="52" t="n">
        <f aca="false">M53+M54+M55</f>
        <v>0</v>
      </c>
      <c r="N56" s="52" t="n">
        <f aca="false">N53+N54+N55</f>
        <v>650161.824</v>
      </c>
      <c r="O56" s="52" t="n">
        <f aca="false">O53+O54+O55</f>
        <v>1605595.02174458</v>
      </c>
      <c r="P56" s="52" t="n">
        <f aca="false">P53+P54+P55</f>
        <v>2894402.96228946</v>
      </c>
    </row>
    <row r="57" customFormat="false" ht="15" hidden="false" customHeight="false" outlineLevel="0" collapsed="false">
      <c r="A57" s="76" t="s">
        <v>593</v>
      </c>
      <c r="B57" s="77" t="s">
        <v>169</v>
      </c>
      <c r="C57" s="79" t="n">
        <f aca="false">C49-C56</f>
        <v>0</v>
      </c>
      <c r="D57" s="79" t="n">
        <f aca="false">D49-D56</f>
        <v>548844</v>
      </c>
      <c r="E57" s="79" t="n">
        <f aca="false">E49-E56</f>
        <v>1926798.86016</v>
      </c>
      <c r="F57" s="79" t="n">
        <f aca="false">F49-F56</f>
        <v>4224508.10195481</v>
      </c>
      <c r="H57" s="79" t="n">
        <f aca="false">H49-H56</f>
        <v>0</v>
      </c>
      <c r="I57" s="79" t="n">
        <f aca="false">I49-I56</f>
        <v>328932.24</v>
      </c>
      <c r="J57" s="79" t="n">
        <f aca="false">J49-J56</f>
        <v>1129581.26958612</v>
      </c>
      <c r="K57" s="79" t="n">
        <f aca="false">K49-K56</f>
        <v>2439775.96536009</v>
      </c>
      <c r="M57" s="79" t="n">
        <f aca="false">M49-M56</f>
        <v>0</v>
      </c>
      <c r="N57" s="79" t="n">
        <f aca="false">N49-N56</f>
        <v>758003.376</v>
      </c>
      <c r="O57" s="79" t="n">
        <f aca="false">O49-O56</f>
        <v>2698757.99279362</v>
      </c>
      <c r="P57" s="79" t="n">
        <f aca="false">P49-P56</f>
        <v>5968660.31805605</v>
      </c>
    </row>
    <row r="58" customFormat="false" ht="15" hidden="false" customHeight="false" outlineLevel="0" collapsed="false">
      <c r="A58" s="10" t="s">
        <v>594</v>
      </c>
      <c r="B58" s="36" t="s">
        <v>127</v>
      </c>
      <c r="D58" s="46" t="n">
        <f aca="false">IF(D49=0,0,D57/D49)</f>
        <v>0.525561620224074</v>
      </c>
      <c r="E58" s="46" t="n">
        <f aca="false">IF(E49=0,0,E57/E49)</f>
        <v>0.613492187785605</v>
      </c>
      <c r="F58" s="46" t="n">
        <f aca="false">IF(F49=0,0,F57/F49)</f>
        <v>0.66041065660776</v>
      </c>
      <c r="I58" s="46" t="n">
        <f aca="false">IF(I49=0,0,I57/I49)</f>
        <v>0.508250323902498</v>
      </c>
      <c r="J58" s="46" t="n">
        <f aca="false">IF(J49=0,0,J57/J49)</f>
        <v>0.594266570863495</v>
      </c>
      <c r="K58" s="46" t="n">
        <f aca="false">IF(K49=0,0,K57/K49)</f>
        <v>0.641262926918838</v>
      </c>
      <c r="N58" s="46" t="n">
        <f aca="false">IF(N49=0,0,N57/N49)</f>
        <v>0.538291512956008</v>
      </c>
      <c r="O58" s="46" t="n">
        <f aca="false">IF(O49=0,0,O57/O49)</f>
        <v>0.626983424379554</v>
      </c>
      <c r="P58" s="46" t="n">
        <f aca="false">IF(P49=0,0,P57/P49)</f>
        <v>0.673430858977617</v>
      </c>
    </row>
    <row r="60" customFormat="false" ht="15" hidden="false" customHeight="false" outlineLevel="0" collapsed="false">
      <c r="A60" s="4" t="s">
        <v>595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customFormat="false" ht="15" hidden="false" customHeight="false" outlineLevel="0" collapsed="false">
      <c r="A61" s="10" t="s">
        <v>596</v>
      </c>
      <c r="B61" s="36" t="s">
        <v>276</v>
      </c>
      <c r="C61" s="49" t="n">
        <v>0</v>
      </c>
      <c r="D61" s="49" t="n">
        <f aca="false">Assumptions!$C$102+Assumptions!$C$103+Assumptions!$C$104+Assumptions!$C$105+Assumptions!$C$106+Assumptions!$C$107+Assumptions!$C$108</f>
        <v>9</v>
      </c>
      <c r="E61" s="49" t="n">
        <f aca="false">Assumptions!$D$102+Assumptions!$D$103+Assumptions!$D$104+Assumptions!$D$105+Assumptions!$D$106+Assumptions!$D$107+Assumptions!$D$108</f>
        <v>15.5</v>
      </c>
      <c r="F61" s="49" t="n">
        <f aca="false">Assumptions!$E$102+Assumptions!$E$103+Assumptions!$E$104+Assumptions!$E$105+Assumptions!$E$106+Assumptions!$E$107+Assumptions!$E$108</f>
        <v>21</v>
      </c>
      <c r="H61" s="49" t="n">
        <v>0</v>
      </c>
      <c r="I61" s="49" t="n">
        <f aca="false">Assumptions!$C$102+Assumptions!$C$103+Assumptions!$C$104+Assumptions!$C$105+Assumptions!$C$106+Assumptions!$C$107+Assumptions!$C$108</f>
        <v>9</v>
      </c>
      <c r="J61" s="49" t="n">
        <f aca="false">Assumptions!$D$102+Assumptions!$D$103+Assumptions!$D$104+Assumptions!$D$105+Assumptions!$D$106+Assumptions!$D$107+Assumptions!$D$108</f>
        <v>15.5</v>
      </c>
      <c r="K61" s="49" t="n">
        <f aca="false">Assumptions!$E$102+Assumptions!$E$103+Assumptions!$E$104+Assumptions!$E$105+Assumptions!$E$106+Assumptions!$E$107+Assumptions!$E$108</f>
        <v>21</v>
      </c>
      <c r="M61" s="49" t="n">
        <v>0</v>
      </c>
      <c r="N61" s="49" t="n">
        <f aca="false">Assumptions!$C$102+Assumptions!$C$103+Assumptions!$C$104+Assumptions!$C$105+Assumptions!$C$106+Assumptions!$C$107+Assumptions!$C$108</f>
        <v>9</v>
      </c>
      <c r="O61" s="49" t="n">
        <f aca="false">Assumptions!$D$102+Assumptions!$D$103+Assumptions!$D$104+Assumptions!$D$105+Assumptions!$D$106+Assumptions!$D$107+Assumptions!$D$108</f>
        <v>15.5</v>
      </c>
      <c r="P61" s="49" t="n">
        <f aca="false">Assumptions!$E$102+Assumptions!$E$103+Assumptions!$E$104+Assumptions!$E$105+Assumptions!$E$106+Assumptions!$E$107+Assumptions!$E$108</f>
        <v>21</v>
      </c>
    </row>
    <row r="62" customFormat="false" ht="15" hidden="false" customHeight="false" outlineLevel="0" collapsed="false">
      <c r="A62" s="10" t="s">
        <v>597</v>
      </c>
      <c r="B62" s="36" t="s">
        <v>169</v>
      </c>
      <c r="D62" s="53" t="n">
        <f aca="false">Assumptions!$C$102*Assumptions!$C$73*Assumptions!$C$20*(1+Assumptions!$C$19)*(1+Assumptions!$C$21)^0*$C$14</f>
        <v>478400</v>
      </c>
      <c r="E62" s="53" t="n">
        <f aca="false">Assumptions!$D$102*Assumptions!$C$73*Assumptions!$C$20*(1+Assumptions!$C$19)*(1+Assumptions!$C$21)^1*$C$14</f>
        <v>497536</v>
      </c>
      <c r="F62" s="53" t="n">
        <f aca="false">Assumptions!$E$102*Assumptions!$C$73*Assumptions!$C$20*(1+Assumptions!$C$19)*(1+Assumptions!$C$21)^2*$C$14</f>
        <v>517437.44</v>
      </c>
      <c r="I62" s="53" t="n">
        <f aca="false">Assumptions!$C$102*Assumptions!$C$73*Assumptions!$C$20*(1+Assumptions!$C$19)*(1+Assumptions!$C$21)^0*$H$14</f>
        <v>502320</v>
      </c>
      <c r="J62" s="53" t="n">
        <f aca="false">Assumptions!$D$102*Assumptions!$C$73*Assumptions!$C$20*(1+Assumptions!$C$19)*(1+Assumptions!$C$21)^1*$H$14</f>
        <v>522412.8</v>
      </c>
      <c r="K62" s="53" t="n">
        <f aca="false">Assumptions!$E$102*Assumptions!$C$73*Assumptions!$C$20*(1+Assumptions!$C$19)*(1+Assumptions!$C$21)^2*$H$14</f>
        <v>543309.312</v>
      </c>
      <c r="N62" s="53" t="n">
        <f aca="false">Assumptions!$C$102*Assumptions!$C$73*Assumptions!$C$20*(1+Assumptions!$C$19)*(1+Assumptions!$C$21)^0*$M$14</f>
        <v>478400</v>
      </c>
      <c r="O62" s="53" t="n">
        <f aca="false">Assumptions!$D$102*Assumptions!$C$73*Assumptions!$C$20*(1+Assumptions!$C$19)*(1+Assumptions!$C$21)^1*$M$14</f>
        <v>497536</v>
      </c>
      <c r="P62" s="53" t="n">
        <f aca="false">Assumptions!$E$102*Assumptions!$C$73*Assumptions!$C$20*(1+Assumptions!$C$19)*(1+Assumptions!$C$21)^2*$M$14</f>
        <v>517437.44</v>
      </c>
    </row>
    <row r="63" customFormat="false" ht="15" hidden="false" customHeight="false" outlineLevel="0" collapsed="false">
      <c r="A63" s="10" t="s">
        <v>598</v>
      </c>
      <c r="B63" s="36" t="s">
        <v>169</v>
      </c>
      <c r="D63" s="53" t="n">
        <f aca="false">Assumptions!$C$103*Assumptions!$C$74*Assumptions!$C$20*(1+Assumptions!$C$19)*(1+Assumptions!$C$21)^0*$C$14</f>
        <v>403650</v>
      </c>
      <c r="E63" s="53" t="n">
        <f aca="false">Assumptions!$D$103*Assumptions!$C$74*Assumptions!$C$20*(1+Assumptions!$C$19)*(1+Assumptions!$C$21)^1*$C$14</f>
        <v>839592</v>
      </c>
      <c r="F63" s="53" t="n">
        <f aca="false">Assumptions!$E$103*Assumptions!$C$74*Assumptions!$C$20*(1+Assumptions!$C$19)*(1+Assumptions!$C$21)^2*$C$14</f>
        <v>1309763.52</v>
      </c>
      <c r="I63" s="53" t="n">
        <f aca="false">Assumptions!$C$103*Assumptions!$C$74*Assumptions!$C$20*(1+Assumptions!$C$19)*(1+Assumptions!$C$21)^0*$H$14</f>
        <v>423832.5</v>
      </c>
      <c r="J63" s="53" t="n">
        <f aca="false">Assumptions!$D$103*Assumptions!$C$74*Assumptions!$C$20*(1+Assumptions!$C$19)*(1+Assumptions!$C$21)^1*$H$14</f>
        <v>881571.6</v>
      </c>
      <c r="K63" s="53" t="n">
        <f aca="false">Assumptions!$E$103*Assumptions!$C$74*Assumptions!$C$20*(1+Assumptions!$C$19)*(1+Assumptions!$C$21)^2*$H$14</f>
        <v>1375251.696</v>
      </c>
      <c r="N63" s="53" t="n">
        <f aca="false">Assumptions!$C$103*Assumptions!$C$74*Assumptions!$C$20*(1+Assumptions!$C$19)*(1+Assumptions!$C$21)^0*$M$14</f>
        <v>403650</v>
      </c>
      <c r="O63" s="53" t="n">
        <f aca="false">Assumptions!$D$103*Assumptions!$C$74*Assumptions!$C$20*(1+Assumptions!$C$19)*(1+Assumptions!$C$21)^1*$M$14</f>
        <v>839592</v>
      </c>
      <c r="P63" s="53" t="n">
        <f aca="false">Assumptions!$E$103*Assumptions!$C$74*Assumptions!$C$20*(1+Assumptions!$C$19)*(1+Assumptions!$C$21)^2*$M$14</f>
        <v>1309763.52</v>
      </c>
    </row>
    <row r="64" customFormat="false" ht="15" hidden="false" customHeight="false" outlineLevel="0" collapsed="false">
      <c r="A64" s="10" t="s">
        <v>599</v>
      </c>
      <c r="B64" s="36" t="s">
        <v>169</v>
      </c>
      <c r="D64" s="53" t="n">
        <f aca="false">Assumptions!$C$104*Assumptions!$C$75*Assumptions!$C$20*(1+Assumptions!$C$19)*(1+Assumptions!$C$21)^0*$C$14</f>
        <v>0</v>
      </c>
      <c r="E64" s="53" t="n">
        <f aca="false">Assumptions!$D$104*Assumptions!$C$75*Assumptions!$C$20*(1+Assumptions!$C$19)*(1+Assumptions!$C$21)^1*$C$14</f>
        <v>0</v>
      </c>
      <c r="F64" s="53" t="n">
        <f aca="false">Assumptions!$E$104*Assumptions!$C$75*Assumptions!$C$20*(1+Assumptions!$C$19)*(1+Assumptions!$C$21)^2*$C$14</f>
        <v>0</v>
      </c>
      <c r="I64" s="53" t="n">
        <f aca="false">Assumptions!$C$104*Assumptions!$C$75*Assumptions!$C$20*(1+Assumptions!$C$19)*(1+Assumptions!$C$21)^0*$H$14</f>
        <v>0</v>
      </c>
      <c r="J64" s="53" t="n">
        <f aca="false">Assumptions!$D$104*Assumptions!$C$75*Assumptions!$C$20*(1+Assumptions!$C$19)*(1+Assumptions!$C$21)^1*$H$14</f>
        <v>0</v>
      </c>
      <c r="K64" s="53" t="n">
        <f aca="false">Assumptions!$E$104*Assumptions!$C$75*Assumptions!$C$20*(1+Assumptions!$C$19)*(1+Assumptions!$C$21)^2*$H$14</f>
        <v>0</v>
      </c>
      <c r="N64" s="53" t="n">
        <f aca="false">Assumptions!$C$104*Assumptions!$C$75*Assumptions!$C$20*(1+Assumptions!$C$19)*(1+Assumptions!$C$21)^0*$M$14</f>
        <v>0</v>
      </c>
      <c r="O64" s="53" t="n">
        <f aca="false">Assumptions!$D$104*Assumptions!$C$75*Assumptions!$C$20*(1+Assumptions!$C$19)*(1+Assumptions!$C$21)^1*$M$14</f>
        <v>0</v>
      </c>
      <c r="P64" s="53" t="n">
        <f aca="false">Assumptions!$E$104*Assumptions!$C$75*Assumptions!$C$20*(1+Assumptions!$C$19)*(1+Assumptions!$C$21)^2*$M$14</f>
        <v>0</v>
      </c>
    </row>
    <row r="65" customFormat="false" ht="15" hidden="false" customHeight="false" outlineLevel="0" collapsed="false">
      <c r="A65" s="10" t="s">
        <v>600</v>
      </c>
      <c r="B65" s="36" t="s">
        <v>169</v>
      </c>
      <c r="D65" s="53" t="n">
        <f aca="false">Assumptions!$C$105*Assumptions!$C$76*Assumptions!$C$20*(1+Assumptions!$C$19)*(1+Assumptions!$C$21)^0*$C$14</f>
        <v>149500</v>
      </c>
      <c r="E65" s="53" t="n">
        <f aca="false">Assumptions!$D$105*Assumptions!$C$76*Assumptions!$C$20*(1+Assumptions!$C$19)*(1+Assumptions!$C$21)^1*$C$14</f>
        <v>466440</v>
      </c>
      <c r="F65" s="53" t="n">
        <f aca="false">Assumptions!$E$105*Assumptions!$C$76*Assumptions!$C$20*(1+Assumptions!$C$19)*(1+Assumptions!$C$21)^2*$C$14</f>
        <v>646796.8</v>
      </c>
      <c r="I65" s="53" t="n">
        <f aca="false">Assumptions!$C$105*Assumptions!$C$76*Assumptions!$C$20*(1+Assumptions!$C$19)*(1+Assumptions!$C$21)^0*$H$14</f>
        <v>156975</v>
      </c>
      <c r="J65" s="53" t="n">
        <f aca="false">Assumptions!$D$105*Assumptions!$C$76*Assumptions!$C$20*(1+Assumptions!$C$19)*(1+Assumptions!$C$21)^1*$H$14</f>
        <v>489762</v>
      </c>
      <c r="K65" s="53" t="n">
        <f aca="false">Assumptions!$E$105*Assumptions!$C$76*Assumptions!$C$20*(1+Assumptions!$C$19)*(1+Assumptions!$C$21)^2*$H$14</f>
        <v>679136.64</v>
      </c>
      <c r="N65" s="53" t="n">
        <f aca="false">Assumptions!$C$105*Assumptions!$C$76*Assumptions!$C$20*(1+Assumptions!$C$19)*(1+Assumptions!$C$21)^0*$M$14</f>
        <v>149500</v>
      </c>
      <c r="O65" s="53" t="n">
        <f aca="false">Assumptions!$D$105*Assumptions!$C$76*Assumptions!$C$20*(1+Assumptions!$C$19)*(1+Assumptions!$C$21)^1*$M$14</f>
        <v>466440</v>
      </c>
      <c r="P65" s="53" t="n">
        <f aca="false">Assumptions!$E$105*Assumptions!$C$76*Assumptions!$C$20*(1+Assumptions!$C$19)*(1+Assumptions!$C$21)^2*$M$14</f>
        <v>646796.8</v>
      </c>
    </row>
    <row r="66" customFormat="false" ht="15" hidden="false" customHeight="false" outlineLevel="0" collapsed="false">
      <c r="A66" s="10" t="s">
        <v>601</v>
      </c>
      <c r="B66" s="36" t="s">
        <v>169</v>
      </c>
      <c r="D66" s="53" t="n">
        <f aca="false">Assumptions!$C$106*Assumptions!$C$77*Assumptions!$C$20*(1+Assumptions!$C$19)*(1+Assumptions!$C$21)^0*$C$14</f>
        <v>119600</v>
      </c>
      <c r="E66" s="53" t="n">
        <f aca="false">Assumptions!$D$106*Assumptions!$C$77*Assumptions!$C$20*(1+Assumptions!$C$19)*(1+Assumptions!$C$21)^1*$C$14</f>
        <v>248768</v>
      </c>
      <c r="F66" s="53" t="n">
        <f aca="false">Assumptions!$E$106*Assumptions!$C$77*Assumptions!$C$20*(1+Assumptions!$C$19)*(1+Assumptions!$C$21)^2*$C$14</f>
        <v>388078.08</v>
      </c>
      <c r="I66" s="53" t="n">
        <f aca="false">Assumptions!$C$106*Assumptions!$C$77*Assumptions!$C$20*(1+Assumptions!$C$19)*(1+Assumptions!$C$21)^0*$H$14</f>
        <v>125580</v>
      </c>
      <c r="J66" s="53" t="n">
        <f aca="false">Assumptions!$D$106*Assumptions!$C$77*Assumptions!$C$20*(1+Assumptions!$C$19)*(1+Assumptions!$C$21)^1*$H$14</f>
        <v>261206.4</v>
      </c>
      <c r="K66" s="53" t="n">
        <f aca="false">Assumptions!$E$106*Assumptions!$C$77*Assumptions!$C$20*(1+Assumptions!$C$19)*(1+Assumptions!$C$21)^2*$H$14</f>
        <v>407481.984</v>
      </c>
      <c r="N66" s="53" t="n">
        <f aca="false">Assumptions!$C$106*Assumptions!$C$77*Assumptions!$C$20*(1+Assumptions!$C$19)*(1+Assumptions!$C$21)^0*$M$14</f>
        <v>119600</v>
      </c>
      <c r="O66" s="53" t="n">
        <f aca="false">Assumptions!$D$106*Assumptions!$C$77*Assumptions!$C$20*(1+Assumptions!$C$19)*(1+Assumptions!$C$21)^1*$M$14</f>
        <v>248768</v>
      </c>
      <c r="P66" s="53" t="n">
        <f aca="false">Assumptions!$E$106*Assumptions!$C$77*Assumptions!$C$20*(1+Assumptions!$C$19)*(1+Assumptions!$C$21)^2*$M$14</f>
        <v>388078.08</v>
      </c>
    </row>
    <row r="67" customFormat="false" ht="15" hidden="false" customHeight="false" outlineLevel="0" collapsed="false">
      <c r="A67" s="10" t="s">
        <v>602</v>
      </c>
      <c r="B67" s="36" t="s">
        <v>169</v>
      </c>
      <c r="D67" s="53" t="n">
        <f aca="false">Assumptions!$C$107*Assumptions!$C$78*Assumptions!$C$20*(1+Assumptions!$C$19)*(1+Assumptions!$C$21)^0*$C$14</f>
        <v>127075</v>
      </c>
      <c r="E67" s="53" t="n">
        <f aca="false">Assumptions!$D$107*Assumptions!$C$78*Assumptions!$C$20*(1+Assumptions!$C$19)*(1+Assumptions!$C$21)^1*$C$14</f>
        <v>198237</v>
      </c>
      <c r="F67" s="53" t="n">
        <f aca="false">Assumptions!$E$107*Assumptions!$C$78*Assumptions!$C$20*(1+Assumptions!$C$19)*(1+Assumptions!$C$21)^2*$C$14</f>
        <v>274888.64</v>
      </c>
      <c r="I67" s="53" t="n">
        <f aca="false">Assumptions!$C$107*Assumptions!$C$78*Assumptions!$C$20*(1+Assumptions!$C$19)*(1+Assumptions!$C$21)^0*$H$14</f>
        <v>133428.75</v>
      </c>
      <c r="J67" s="53" t="n">
        <f aca="false">Assumptions!$D$107*Assumptions!$C$78*Assumptions!$C$20*(1+Assumptions!$C$19)*(1+Assumptions!$C$21)^1*$H$14</f>
        <v>208148.85</v>
      </c>
      <c r="K67" s="53" t="n">
        <f aca="false">Assumptions!$E$107*Assumptions!$C$78*Assumptions!$C$20*(1+Assumptions!$C$19)*(1+Assumptions!$C$21)^2*$H$14</f>
        <v>288633.072</v>
      </c>
      <c r="N67" s="53" t="n">
        <f aca="false">Assumptions!$C$107*Assumptions!$C$78*Assumptions!$C$20*(1+Assumptions!$C$19)*(1+Assumptions!$C$21)^0*$M$14</f>
        <v>127075</v>
      </c>
      <c r="O67" s="53" t="n">
        <f aca="false">Assumptions!$D$107*Assumptions!$C$78*Assumptions!$C$20*(1+Assumptions!$C$19)*(1+Assumptions!$C$21)^1*$M$14</f>
        <v>198237</v>
      </c>
      <c r="P67" s="53" t="n">
        <f aca="false">Assumptions!$E$107*Assumptions!$C$78*Assumptions!$C$20*(1+Assumptions!$C$19)*(1+Assumptions!$C$21)^2*$M$14</f>
        <v>274888.64</v>
      </c>
    </row>
    <row r="68" customFormat="false" ht="15" hidden="false" customHeight="false" outlineLevel="0" collapsed="false">
      <c r="A68" s="10" t="s">
        <v>603</v>
      </c>
      <c r="B68" s="36" t="s">
        <v>169</v>
      </c>
      <c r="D68" s="53" t="n">
        <f aca="false">Assumptions!$C$108*Assumptions!$C$79*12*(1+Assumptions!$C$21)^0*$C$14</f>
        <v>720000</v>
      </c>
      <c r="E68" s="53" t="n">
        <f aca="false">Assumptions!$D$108*Assumptions!$C$79*12*(1+Assumptions!$C$21)^1*$C$14</f>
        <v>748800</v>
      </c>
      <c r="F68" s="53" t="n">
        <f aca="false">Assumptions!$E$108*Assumptions!$C$79*12*(1+Assumptions!$C$21)^2*$C$14</f>
        <v>778752</v>
      </c>
      <c r="I68" s="53" t="n">
        <f aca="false">Assumptions!$C$108*Assumptions!$C$79*12*(1+Assumptions!$C$21)^0*$H$14</f>
        <v>756000</v>
      </c>
      <c r="J68" s="53" t="n">
        <f aca="false">Assumptions!$D$108*Assumptions!$C$79*12*(1+Assumptions!$C$21)^1*$H$14</f>
        <v>786240</v>
      </c>
      <c r="K68" s="53" t="n">
        <f aca="false">Assumptions!$E$108*Assumptions!$C$79*12*(1+Assumptions!$C$21)^2*$H$14</f>
        <v>817689.6</v>
      </c>
      <c r="N68" s="53" t="n">
        <f aca="false">Assumptions!$C$108*Assumptions!$C$79*12*(1+Assumptions!$C$21)^0*$M$14</f>
        <v>720000</v>
      </c>
      <c r="O68" s="53" t="n">
        <f aca="false">Assumptions!$D$108*Assumptions!$C$79*12*(1+Assumptions!$C$21)^1*$M$14</f>
        <v>748800</v>
      </c>
      <c r="P68" s="53" t="n">
        <f aca="false">Assumptions!$E$108*Assumptions!$C$79*12*(1+Assumptions!$C$21)^2*$M$14</f>
        <v>778752</v>
      </c>
    </row>
    <row r="69" customFormat="false" ht="15" hidden="false" customHeight="false" outlineLevel="0" collapsed="false">
      <c r="A69" s="10" t="s">
        <v>604</v>
      </c>
      <c r="B69" s="36" t="s">
        <v>169</v>
      </c>
      <c r="D69" s="53" t="n">
        <f aca="false">Assumptions!$C$109*Assumptions!$C$80*12*(1+Assumptions!$C$21)^0*$C$14</f>
        <v>1440000</v>
      </c>
      <c r="E69" s="53" t="n">
        <f aca="false">Assumptions!$D$109*Assumptions!$C$80*12*(1+Assumptions!$C$21)^1*$C$14</f>
        <v>998400</v>
      </c>
      <c r="F69" s="53" t="n">
        <f aca="false">Assumptions!$E$109*Assumptions!$C$80*12*(1+Assumptions!$C$21)^2*$C$14</f>
        <v>778752</v>
      </c>
      <c r="I69" s="53" t="n">
        <f aca="false">Assumptions!$C$109*Assumptions!$C$80*12*(1+Assumptions!$C$21)^0*$H$14</f>
        <v>1512000</v>
      </c>
      <c r="J69" s="53" t="n">
        <f aca="false">Assumptions!$D$109*Assumptions!$C$80*12*(1+Assumptions!$C$21)^1*$H$14</f>
        <v>1048320</v>
      </c>
      <c r="K69" s="53" t="n">
        <f aca="false">Assumptions!$E$109*Assumptions!$C$80*12*(1+Assumptions!$C$21)^2*$H$14</f>
        <v>817689.6</v>
      </c>
      <c r="N69" s="53" t="n">
        <f aca="false">Assumptions!$C$109*Assumptions!$C$80*12*(1+Assumptions!$C$21)^0*$M$14</f>
        <v>1440000</v>
      </c>
      <c r="O69" s="53" t="n">
        <f aca="false">Assumptions!$D$109*Assumptions!$C$80*12*(1+Assumptions!$C$21)^1*$M$14</f>
        <v>998400</v>
      </c>
      <c r="P69" s="53" t="n">
        <f aca="false">Assumptions!$E$109*Assumptions!$C$80*12*(1+Assumptions!$C$21)^2*$M$14</f>
        <v>778752</v>
      </c>
    </row>
    <row r="70" customFormat="false" ht="15" hidden="false" customHeight="false" outlineLevel="0" collapsed="false">
      <c r="A70" s="10" t="s">
        <v>605</v>
      </c>
      <c r="B70" s="36" t="s">
        <v>169</v>
      </c>
      <c r="D70" s="53" t="n">
        <f aca="false">(D18*D38+D23*D39+D28*D40)*Assumptions!$C$60</f>
        <v>77808</v>
      </c>
      <c r="E70" s="53" t="n">
        <f aca="false">(E18*E38+E23*E39+E28*E40)*Assumptions!$C$60</f>
        <v>165093.0144</v>
      </c>
      <c r="F70" s="53" t="n">
        <f aca="false">(F18*F38+F23*F39+F28*F40)*Assumptions!$C$60</f>
        <v>262720.76846544</v>
      </c>
      <c r="I70" s="53" t="n">
        <f aca="false">(I18*I38+I23*I39+I28*I40)*Assumptions!$C$60</f>
        <v>45517.68</v>
      </c>
      <c r="J70" s="53" t="n">
        <f aca="false">(J18*J38+J23*J39+J28*J40)*Assumptions!$C$60</f>
        <v>96579.413424</v>
      </c>
      <c r="K70" s="53" t="n">
        <f aca="false">(K18*K38+K23*K39+K28*K40)*Assumptions!$C$60</f>
        <v>153691.649552282</v>
      </c>
      <c r="N70" s="53" t="n">
        <f aca="false">(N18*N38+N23*N39+N28*N40)*Assumptions!$C$60</f>
        <v>109242.432</v>
      </c>
      <c r="O70" s="53" t="n">
        <f aca="false">(O18*O38+O23*O39+O28*O40)*Assumptions!$C$60</f>
        <v>231790.5922176</v>
      </c>
      <c r="P70" s="53" t="n">
        <f aca="false">(P18*P38+P23*P39+P28*P40)*Assumptions!$C$60</f>
        <v>368859.958925478</v>
      </c>
    </row>
    <row r="71" customFormat="false" ht="15" hidden="false" customHeight="false" outlineLevel="0" collapsed="false">
      <c r="A71" s="10" t="s">
        <v>606</v>
      </c>
      <c r="B71" s="36" t="s">
        <v>169</v>
      </c>
      <c r="D71" s="53" t="n">
        <f aca="false">Assumptions!$C$110*$C$14</f>
        <v>600000</v>
      </c>
      <c r="E71" s="53" t="n">
        <f aca="false">Assumptions!$D$110*$C$14</f>
        <v>900000</v>
      </c>
      <c r="F71" s="53" t="n">
        <f aca="false">Assumptions!$E$110*$C$14</f>
        <v>1200000</v>
      </c>
      <c r="I71" s="53" t="n">
        <f aca="false">Assumptions!$C$110*$H$14</f>
        <v>630000</v>
      </c>
      <c r="J71" s="53" t="n">
        <f aca="false">Assumptions!$D$110*$H$14</f>
        <v>945000</v>
      </c>
      <c r="K71" s="53" t="n">
        <f aca="false">Assumptions!$E$110*$H$14</f>
        <v>1260000</v>
      </c>
      <c r="N71" s="53" t="n">
        <f aca="false">Assumptions!$C$110*$M$14</f>
        <v>600000</v>
      </c>
      <c r="O71" s="53" t="n">
        <f aca="false">Assumptions!$D$110*$M$14</f>
        <v>900000</v>
      </c>
      <c r="P71" s="53" t="n">
        <f aca="false">Assumptions!$E$110*$M$14</f>
        <v>1200000</v>
      </c>
    </row>
    <row r="72" customFormat="false" ht="15" hidden="false" customHeight="false" outlineLevel="0" collapsed="false">
      <c r="A72" s="10" t="s">
        <v>607</v>
      </c>
      <c r="B72" s="36" t="s">
        <v>169</v>
      </c>
      <c r="D72" s="53" t="n">
        <f aca="false">D61*Assumptions!$C$32*(1+Assumptions!$C$21)^0*$C$14</f>
        <v>216000</v>
      </c>
      <c r="E72" s="53" t="n">
        <f aca="false">E61*Assumptions!$C$32*(1+Assumptions!$C$21)^1*$C$14</f>
        <v>386880</v>
      </c>
      <c r="F72" s="53" t="n">
        <f aca="false">F61*Assumptions!$C$32*(1+Assumptions!$C$21)^2*$C$14</f>
        <v>545126.4</v>
      </c>
      <c r="I72" s="53" t="n">
        <f aca="false">I61*Assumptions!$C$32*(1+Assumptions!$C$21)^0*$H$14</f>
        <v>226800</v>
      </c>
      <c r="J72" s="53" t="n">
        <f aca="false">J61*Assumptions!$C$32*(1+Assumptions!$C$21)^1*$H$14</f>
        <v>406224</v>
      </c>
      <c r="K72" s="53" t="n">
        <f aca="false">K61*Assumptions!$C$32*(1+Assumptions!$C$21)^2*$H$14</f>
        <v>572382.72</v>
      </c>
      <c r="N72" s="53" t="n">
        <f aca="false">N61*Assumptions!$C$32*(1+Assumptions!$C$21)^0*$M$14</f>
        <v>216000</v>
      </c>
      <c r="O72" s="53" t="n">
        <f aca="false">O61*Assumptions!$C$32*(1+Assumptions!$C$21)^1*$M$14</f>
        <v>386880</v>
      </c>
      <c r="P72" s="53" t="n">
        <f aca="false">P61*Assumptions!$C$32*(1+Assumptions!$C$21)^2*$M$14</f>
        <v>545126.4</v>
      </c>
    </row>
    <row r="73" customFormat="false" ht="15" hidden="false" customHeight="false" outlineLevel="0" collapsed="false">
      <c r="A73" s="10" t="s">
        <v>608</v>
      </c>
      <c r="B73" s="36" t="s">
        <v>169</v>
      </c>
      <c r="D73" s="53" t="n">
        <f aca="false">Assumptions!$C$111*$C$14</f>
        <v>350000</v>
      </c>
      <c r="E73" s="53" t="n">
        <f aca="false">Assumptions!$D$111*$C$14</f>
        <v>400000</v>
      </c>
      <c r="F73" s="53" t="n">
        <f aca="false">Assumptions!$E$111*$C$14</f>
        <v>450000</v>
      </c>
      <c r="I73" s="53" t="n">
        <f aca="false">Assumptions!$C$111*$H$14</f>
        <v>367500</v>
      </c>
      <c r="J73" s="53" t="n">
        <f aca="false">Assumptions!$D$111*$H$14</f>
        <v>420000</v>
      </c>
      <c r="K73" s="53" t="n">
        <f aca="false">Assumptions!$E$111*$H$14</f>
        <v>472500</v>
      </c>
      <c r="N73" s="53" t="n">
        <f aca="false">Assumptions!$C$111*$M$14</f>
        <v>350000</v>
      </c>
      <c r="O73" s="53" t="n">
        <f aca="false">Assumptions!$D$111*$M$14</f>
        <v>400000</v>
      </c>
      <c r="P73" s="53" t="n">
        <f aca="false">Assumptions!$E$111*$M$14</f>
        <v>450000</v>
      </c>
    </row>
    <row r="74" customFormat="false" ht="15" hidden="false" customHeight="false" outlineLevel="0" collapsed="false">
      <c r="A74" s="10" t="s">
        <v>609</v>
      </c>
      <c r="B74" s="36" t="s">
        <v>169</v>
      </c>
      <c r="D74" s="53" t="n">
        <f aca="false">D49*Assumptions!$C$29</f>
        <v>15664.5</v>
      </c>
      <c r="E74" s="53" t="n">
        <f aca="false">E49*Assumptions!$C$29</f>
        <v>47110.59648</v>
      </c>
      <c r="F74" s="53" t="n">
        <f aca="false">F49*Assumptions!$C$29</f>
        <v>95951.8458633206</v>
      </c>
      <c r="I74" s="53" t="n">
        <f aca="false">I49*Assumptions!$C$29</f>
        <v>9707.7825</v>
      </c>
      <c r="J74" s="53" t="n">
        <f aca="false">J49*Assumptions!$C$29</f>
        <v>28511.9841406725</v>
      </c>
      <c r="K74" s="53" t="n">
        <f aca="false">K49*Assumptions!$C$29</f>
        <v>57069.6323522743</v>
      </c>
      <c r="N74" s="53" t="n">
        <f aca="false">N49*Assumptions!$C$29</f>
        <v>21122.478</v>
      </c>
      <c r="O74" s="53" t="n">
        <f aca="false">O49*Assumptions!$C$29</f>
        <v>64565.295218073</v>
      </c>
      <c r="P74" s="53" t="n">
        <f aca="false">P49*Assumptions!$C$29</f>
        <v>132945.949205183</v>
      </c>
    </row>
    <row r="75" customFormat="false" ht="15" hidden="false" customHeight="false" outlineLevel="0" collapsed="false">
      <c r="A75" s="7" t="s">
        <v>610</v>
      </c>
      <c r="B75" s="36" t="s">
        <v>169</v>
      </c>
      <c r="C75" s="52" t="n">
        <f aca="false">C62+C63+C64+C65+C66+C67+C68+C69+C70+C71+C72+C73+C74</f>
        <v>0</v>
      </c>
      <c r="D75" s="52" t="n">
        <f aca="false">D62+D63+D64+D65+D66+D67+D68+D69+D70+D71+D72+D73+D74</f>
        <v>4697697.5</v>
      </c>
      <c r="E75" s="52" t="n">
        <f aca="false">E62+E63+E64+E65+E66+E67+E68+E69+E70+E71+E72+E73+E74</f>
        <v>5896856.61088</v>
      </c>
      <c r="F75" s="52" t="n">
        <f aca="false">F62+F63+F64+F65+F66+F67+F68+F69+F70+F71+F72+F73+F74</f>
        <v>7248267.49432876</v>
      </c>
      <c r="H75" s="52" t="n">
        <f aca="false">H62+H63+H64+H65+H66+H67+H68+H69+H70+H71+H72+H73+H74</f>
        <v>0</v>
      </c>
      <c r="I75" s="52" t="n">
        <f aca="false">I62+I63+I64+I65+I66+I67+I68+I69+I70+I71+I72+I73+I74</f>
        <v>4889661.7125</v>
      </c>
      <c r="J75" s="52" t="n">
        <f aca="false">J62+J63+J64+J65+J66+J67+J68+J69+J70+J71+J72+J73+J74</f>
        <v>6093977.04756467</v>
      </c>
      <c r="K75" s="52" t="n">
        <f aca="false">K62+K63+K64+K65+K66+K67+K68+K69+K70+K71+K72+K73+K74</f>
        <v>7444835.90590456</v>
      </c>
      <c r="M75" s="52" t="n">
        <f aca="false">M62+M63+M64+M65+M66+M67+M68+M69+M70+M71+M72+M73+M74</f>
        <v>0</v>
      </c>
      <c r="N75" s="52" t="n">
        <f aca="false">N62+N63+N64+N65+N66+N67+N68+N69+N70+N71+N72+N73+N74</f>
        <v>4734589.91</v>
      </c>
      <c r="O75" s="52" t="n">
        <f aca="false">O62+O63+O64+O65+O66+O67+O68+O69+O70+O71+O72+O73+O74</f>
        <v>5981008.88743567</v>
      </c>
      <c r="P75" s="52" t="n">
        <f aca="false">P62+P63+P64+P65+P66+P67+P68+P69+P70+P71+P72+P73+P74</f>
        <v>7391400.78813066</v>
      </c>
    </row>
    <row r="76" customFormat="false" ht="15" hidden="false" customHeight="false" outlineLevel="0" collapsed="false">
      <c r="A76" s="10" t="s">
        <v>611</v>
      </c>
      <c r="B76" s="36" t="s">
        <v>169</v>
      </c>
      <c r="D76" s="53" t="n">
        <f aca="false">D75*Assumptions!$C$30</f>
        <v>234884.875</v>
      </c>
      <c r="E76" s="53" t="n">
        <f aca="false">E75*Assumptions!$C$30</f>
        <v>294842.830544</v>
      </c>
      <c r="F76" s="53" t="n">
        <f aca="false">F75*Assumptions!$C$30</f>
        <v>362413.374716438</v>
      </c>
      <c r="I76" s="53" t="n">
        <f aca="false">I75*Assumptions!$C$30</f>
        <v>244483.085625</v>
      </c>
      <c r="J76" s="53" t="n">
        <f aca="false">J75*Assumptions!$C$30</f>
        <v>304698.852378234</v>
      </c>
      <c r="K76" s="53" t="n">
        <f aca="false">K75*Assumptions!$C$30</f>
        <v>372241.795295228</v>
      </c>
      <c r="N76" s="53" t="n">
        <f aca="false">N75*Assumptions!$C$30</f>
        <v>236729.4955</v>
      </c>
      <c r="O76" s="53" t="n">
        <f aca="false">O75*Assumptions!$C$30</f>
        <v>299050.444371784</v>
      </c>
      <c r="P76" s="53" t="n">
        <f aca="false">P75*Assumptions!$C$30</f>
        <v>369570.039406533</v>
      </c>
    </row>
    <row r="77" customFormat="false" ht="15" hidden="false" customHeight="false" outlineLevel="0" collapsed="false">
      <c r="A77" s="76" t="s">
        <v>612</v>
      </c>
      <c r="B77" s="77" t="s">
        <v>169</v>
      </c>
      <c r="C77" s="79" t="n">
        <f aca="false">C75+C76</f>
        <v>0</v>
      </c>
      <c r="D77" s="79" t="n">
        <f aca="false">D75+D76</f>
        <v>4932582.375</v>
      </c>
      <c r="E77" s="79" t="n">
        <f aca="false">E75+E76</f>
        <v>6191699.441424</v>
      </c>
      <c r="F77" s="79" t="n">
        <f aca="false">F75+F76</f>
        <v>7610680.8690452</v>
      </c>
      <c r="H77" s="79" t="n">
        <f aca="false">H75+H76</f>
        <v>0</v>
      </c>
      <c r="I77" s="79" t="n">
        <f aca="false">I75+I76</f>
        <v>5134144.798125</v>
      </c>
      <c r="J77" s="79" t="n">
        <f aca="false">J75+J76</f>
        <v>6398675.89994291</v>
      </c>
      <c r="K77" s="79" t="n">
        <f aca="false">K75+K76</f>
        <v>7817077.70119979</v>
      </c>
      <c r="M77" s="79" t="n">
        <f aca="false">M75+M76</f>
        <v>0</v>
      </c>
      <c r="N77" s="79" t="n">
        <f aca="false">N75+N76</f>
        <v>4971319.4055</v>
      </c>
      <c r="O77" s="79" t="n">
        <f aca="false">O75+O76</f>
        <v>6280059.33180746</v>
      </c>
      <c r="P77" s="79" t="n">
        <f aca="false">P75+P76</f>
        <v>7760970.8275372</v>
      </c>
    </row>
    <row r="78" customFormat="false" ht="15" hidden="false" customHeight="false" outlineLevel="0" collapsed="false">
      <c r="A78" s="10" t="s">
        <v>613</v>
      </c>
      <c r="B78" s="36" t="s">
        <v>169</v>
      </c>
      <c r="C78" s="53" t="n">
        <f aca="false">Assumptions!$C$84+Assumptions!$C$85+Assumptions!$C$86+Assumptions!$C$87+Assumptions!$C$88+Assumptions!$C$89*Assumptions!$C$90*Assumptions!$C$80</f>
        <v>1690000</v>
      </c>
      <c r="H78" s="53" t="n">
        <f aca="false">Assumptions!$C$84+Assumptions!$C$85+Assumptions!$C$86+Assumptions!$C$87+Assumptions!$C$88+Assumptions!$C$89*Assumptions!$C$90*Assumptions!$C$80</f>
        <v>1690000</v>
      </c>
      <c r="M78" s="53" t="n">
        <f aca="false">Assumptions!$C$84+Assumptions!$C$85+Assumptions!$C$86+Assumptions!$C$87+Assumptions!$C$88+Assumptions!$C$89*Assumptions!$C$90*Assumptions!$C$80</f>
        <v>1690000</v>
      </c>
    </row>
    <row r="79" customFormat="false" ht="15" hidden="false" customHeight="false" outlineLevel="0" collapsed="false">
      <c r="A79" s="76" t="s">
        <v>614</v>
      </c>
      <c r="B79" s="77" t="s">
        <v>169</v>
      </c>
      <c r="C79" s="79" t="n">
        <f aca="false">C57-C77-C78</f>
        <v>-1690000</v>
      </c>
      <c r="D79" s="79" t="n">
        <f aca="false">D57-D77-D78</f>
        <v>-4383738.375</v>
      </c>
      <c r="E79" s="79" t="n">
        <f aca="false">E57-E77-E78</f>
        <v>-4264900.581264</v>
      </c>
      <c r="F79" s="79" t="n">
        <f aca="false">F57-F77-F78</f>
        <v>-3386172.76709039</v>
      </c>
      <c r="H79" s="79" t="n">
        <f aca="false">H57-H77-H78</f>
        <v>-1690000</v>
      </c>
      <c r="I79" s="79" t="n">
        <f aca="false">I57-I77-I78</f>
        <v>-4805212.558125</v>
      </c>
      <c r="J79" s="79" t="n">
        <f aca="false">J57-J77-J78</f>
        <v>-5269094.63035679</v>
      </c>
      <c r="K79" s="79" t="n">
        <f aca="false">K57-K77-K78</f>
        <v>-5377301.73583969</v>
      </c>
      <c r="M79" s="79" t="n">
        <f aca="false">M57-M77-M78</f>
        <v>-1690000</v>
      </c>
      <c r="N79" s="79" t="n">
        <f aca="false">N57-N77-N78</f>
        <v>-4213316.0295</v>
      </c>
      <c r="O79" s="79" t="n">
        <f aca="false">O57-O77-O78</f>
        <v>-3581301.33901384</v>
      </c>
      <c r="P79" s="79" t="n">
        <f aca="false">P57-P77-P78</f>
        <v>-1792310.50948115</v>
      </c>
    </row>
    <row r="80" customFormat="false" ht="15" hidden="false" customHeight="false" outlineLevel="0" collapsed="false">
      <c r="A80" s="10" t="s">
        <v>615</v>
      </c>
      <c r="B80" s="36" t="s">
        <v>127</v>
      </c>
      <c r="D80" s="46" t="n">
        <f aca="false">IF(D49=0,0,D79/D49)</f>
        <v>-4.19777686009767</v>
      </c>
      <c r="E80" s="46" t="n">
        <f aca="false">IF(E49=0,0,E79/E49)</f>
        <v>-1.3579430849728</v>
      </c>
      <c r="F80" s="46" t="n">
        <f aca="false">IF(F49=0,0,F79/F49)</f>
        <v>-0.529355022296369</v>
      </c>
      <c r="I80" s="46" t="n">
        <f aca="false">IF(I49=0,0,I79/I49)</f>
        <v>-7.42478401961261</v>
      </c>
      <c r="J80" s="46" t="n">
        <f aca="false">IF(J49=0,0,J79/J49)</f>
        <v>-2.77204206713225</v>
      </c>
      <c r="K80" s="46" t="n">
        <f aca="false">IF(K49=0,0,K79/K49)</f>
        <v>-1.41335282378739</v>
      </c>
      <c r="N80" s="46" t="n">
        <f aca="false">IF(N49=0,0,N79/N49)</f>
        <v>-2.99206089562503</v>
      </c>
      <c r="O80" s="46" t="n">
        <f aca="false">IF(O49=0,0,O79/O49)</f>
        <v>-0.832018500089976</v>
      </c>
      <c r="P80" s="46" t="n">
        <f aca="false">IF(P49=0,0,P79/P49)</f>
        <v>-0.202222465618149</v>
      </c>
    </row>
    <row r="82" customFormat="false" ht="15" hidden="false" customHeight="false" outlineLevel="0" collapsed="false">
      <c r="A82" s="4" t="s">
        <v>616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customFormat="false" ht="15" hidden="false" customHeight="false" outlineLevel="0" collapsed="false">
      <c r="A83" s="10" t="s">
        <v>617</v>
      </c>
      <c r="B83" s="36" t="s">
        <v>169</v>
      </c>
      <c r="D83" s="53" t="n">
        <f aca="false">MAX(0,D61-C61)*Assumptions!$C$27</f>
        <v>72000</v>
      </c>
      <c r="E83" s="53" t="n">
        <f aca="false">MAX(0,E61-D61)*Assumptions!$C$27</f>
        <v>52000</v>
      </c>
      <c r="F83" s="53" t="n">
        <f aca="false">MAX(0,F61-E61)*Assumptions!$C$27</f>
        <v>44000</v>
      </c>
      <c r="I83" s="53" t="n">
        <f aca="false">MAX(0,I61-H61)*Assumptions!$C$27</f>
        <v>72000</v>
      </c>
      <c r="J83" s="53" t="n">
        <f aca="false">MAX(0,J61-I61)*Assumptions!$C$27</f>
        <v>52000</v>
      </c>
      <c r="K83" s="53" t="n">
        <f aca="false">MAX(0,K61-J61)*Assumptions!$C$27</f>
        <v>44000</v>
      </c>
      <c r="N83" s="53" t="n">
        <f aca="false">MAX(0,N61-M61)*Assumptions!$C$27</f>
        <v>72000</v>
      </c>
      <c r="O83" s="53" t="n">
        <f aca="false">MAX(0,O61-N61)*Assumptions!$C$27</f>
        <v>52000</v>
      </c>
      <c r="P83" s="53" t="n">
        <f aca="false">MAX(0,P61-O61)*Assumptions!$C$27</f>
        <v>44000</v>
      </c>
    </row>
    <row r="84" customFormat="false" ht="15" hidden="false" customHeight="false" outlineLevel="0" collapsed="false">
      <c r="A84" s="10" t="s">
        <v>618</v>
      </c>
      <c r="B84" s="36" t="s">
        <v>169</v>
      </c>
      <c r="C84" s="53" t="n">
        <v>0</v>
      </c>
      <c r="D84" s="53" t="n">
        <f aca="false">C84+D83</f>
        <v>72000</v>
      </c>
      <c r="E84" s="53" t="n">
        <f aca="false">D84+E83</f>
        <v>124000</v>
      </c>
      <c r="F84" s="53" t="n">
        <f aca="false">E84+F83</f>
        <v>168000</v>
      </c>
      <c r="H84" s="53" t="n">
        <v>0</v>
      </c>
      <c r="I84" s="53" t="n">
        <f aca="false">H84+I83</f>
        <v>72000</v>
      </c>
      <c r="J84" s="53" t="n">
        <f aca="false">I84+J83</f>
        <v>124000</v>
      </c>
      <c r="K84" s="53" t="n">
        <f aca="false">J84+K83</f>
        <v>168000</v>
      </c>
      <c r="M84" s="53" t="n">
        <v>0</v>
      </c>
      <c r="N84" s="53" t="n">
        <f aca="false">M84+N83</f>
        <v>72000</v>
      </c>
      <c r="O84" s="53" t="n">
        <f aca="false">N84+O83</f>
        <v>124000</v>
      </c>
      <c r="P84" s="53" t="n">
        <f aca="false">O84+P83</f>
        <v>168000</v>
      </c>
    </row>
    <row r="85" customFormat="false" ht="15" hidden="false" customHeight="false" outlineLevel="0" collapsed="false">
      <c r="A85" s="10" t="s">
        <v>619</v>
      </c>
      <c r="B85" s="36" t="s">
        <v>169</v>
      </c>
      <c r="D85" s="53" t="n">
        <f aca="false">D84/Assumptions!$C$28</f>
        <v>24000</v>
      </c>
      <c r="E85" s="53" t="n">
        <f aca="false">E84/Assumptions!$C$28</f>
        <v>41333.3333333333</v>
      </c>
      <c r="F85" s="53" t="n">
        <f aca="false">F84/Assumptions!$C$28</f>
        <v>56000</v>
      </c>
      <c r="I85" s="53" t="n">
        <f aca="false">I84/Assumptions!$C$28</f>
        <v>24000</v>
      </c>
      <c r="J85" s="53" t="n">
        <f aca="false">J84/Assumptions!$C$28</f>
        <v>41333.3333333333</v>
      </c>
      <c r="K85" s="53" t="n">
        <f aca="false">K84/Assumptions!$C$28</f>
        <v>56000</v>
      </c>
      <c r="N85" s="53" t="n">
        <f aca="false">N84/Assumptions!$C$28</f>
        <v>24000</v>
      </c>
      <c r="O85" s="53" t="n">
        <f aca="false">O84/Assumptions!$C$28</f>
        <v>41333.3333333333</v>
      </c>
      <c r="P85" s="53" t="n">
        <f aca="false">P84/Assumptions!$C$28</f>
        <v>56000</v>
      </c>
    </row>
    <row r="86" customFormat="false" ht="15" hidden="false" customHeight="false" outlineLevel="0" collapsed="false">
      <c r="A86" s="7" t="s">
        <v>620</v>
      </c>
      <c r="B86" s="36" t="s">
        <v>169</v>
      </c>
      <c r="C86" s="52" t="n">
        <f aca="false">C79-C85</f>
        <v>-1690000</v>
      </c>
      <c r="D86" s="52" t="n">
        <f aca="false">D79-D85</f>
        <v>-4407738.375</v>
      </c>
      <c r="E86" s="52" t="n">
        <f aca="false">E79-E85</f>
        <v>-4306233.91459733</v>
      </c>
      <c r="F86" s="52" t="n">
        <f aca="false">F79-F85</f>
        <v>-3442172.76709039</v>
      </c>
      <c r="H86" s="52" t="n">
        <f aca="false">H79-H85</f>
        <v>-1690000</v>
      </c>
      <c r="I86" s="52" t="n">
        <f aca="false">I79-I85</f>
        <v>-4829212.558125</v>
      </c>
      <c r="J86" s="52" t="n">
        <f aca="false">J79-J85</f>
        <v>-5310427.96369012</v>
      </c>
      <c r="K86" s="52" t="n">
        <f aca="false">K79-K85</f>
        <v>-5433301.73583969</v>
      </c>
      <c r="M86" s="52" t="n">
        <f aca="false">M79-M85</f>
        <v>-1690000</v>
      </c>
      <c r="N86" s="52" t="n">
        <f aca="false">N79-N85</f>
        <v>-4237316.0295</v>
      </c>
      <c r="O86" s="52" t="n">
        <f aca="false">O79-O85</f>
        <v>-3622634.67234717</v>
      </c>
      <c r="P86" s="52" t="n">
        <f aca="false">P79-P85</f>
        <v>-1848310.50948115</v>
      </c>
    </row>
    <row r="87" customFormat="false" ht="15" hidden="false" customHeight="false" outlineLevel="0" collapsed="false">
      <c r="A87" s="10" t="s">
        <v>621</v>
      </c>
      <c r="B87" s="36" t="s">
        <v>127</v>
      </c>
      <c r="D87" s="46" t="n">
        <f aca="false">IF(Assumptions!$C$16=1,Assumptions!$C$17,Assumptions!$C$15)</f>
        <v>0.24</v>
      </c>
      <c r="E87" s="46" t="n">
        <f aca="false">IF(Assumptions!$C$16=1,Assumptions!$C$17,Assumptions!$C$15)</f>
        <v>0.24</v>
      </c>
      <c r="F87" s="46" t="n">
        <f aca="false">IF(Assumptions!$C$16=1,Assumptions!$C$17,Assumptions!$C$15)</f>
        <v>0.24</v>
      </c>
      <c r="I87" s="46" t="n">
        <f aca="false">IF(Assumptions!$C$16=1,Assumptions!$C$17,Assumptions!$C$15)</f>
        <v>0.24</v>
      </c>
      <c r="J87" s="46" t="n">
        <f aca="false">IF(Assumptions!$C$16=1,Assumptions!$C$17,Assumptions!$C$15)</f>
        <v>0.24</v>
      </c>
      <c r="K87" s="46" t="n">
        <f aca="false">IF(Assumptions!$C$16=1,Assumptions!$C$17,Assumptions!$C$15)</f>
        <v>0.24</v>
      </c>
      <c r="N87" s="46" t="n">
        <f aca="false">IF(Assumptions!$C$16=1,Assumptions!$C$17,Assumptions!$C$15)</f>
        <v>0.24</v>
      </c>
      <c r="O87" s="46" t="n">
        <f aca="false">IF(Assumptions!$C$16=1,Assumptions!$C$17,Assumptions!$C$15)</f>
        <v>0.24</v>
      </c>
      <c r="P87" s="46" t="n">
        <f aca="false">IF(Assumptions!$C$16=1,Assumptions!$C$17,Assumptions!$C$15)</f>
        <v>0.24</v>
      </c>
    </row>
    <row r="88" customFormat="false" ht="15" hidden="false" customHeight="false" outlineLevel="0" collapsed="false">
      <c r="A88" s="10" t="s">
        <v>622</v>
      </c>
      <c r="B88" s="36" t="s">
        <v>169</v>
      </c>
      <c r="D88" s="53" t="n">
        <f aca="false">C91</f>
        <v>1690000</v>
      </c>
      <c r="E88" s="53" t="n">
        <f aca="false">D91</f>
        <v>6097738.375</v>
      </c>
      <c r="F88" s="53" t="n">
        <f aca="false">E91</f>
        <v>10403972.2895973</v>
      </c>
      <c r="I88" s="53" t="n">
        <f aca="false">H91</f>
        <v>1690000</v>
      </c>
      <c r="J88" s="53" t="n">
        <f aca="false">I91</f>
        <v>6519212.558125</v>
      </c>
      <c r="K88" s="53" t="n">
        <f aca="false">J91</f>
        <v>11829640.5218151</v>
      </c>
      <c r="N88" s="53" t="n">
        <f aca="false">M91</f>
        <v>1690000</v>
      </c>
      <c r="O88" s="53" t="n">
        <f aca="false">N91</f>
        <v>5927316.0295</v>
      </c>
      <c r="P88" s="53" t="n">
        <f aca="false">O91</f>
        <v>9549950.70184717</v>
      </c>
    </row>
    <row r="89" customFormat="false" ht="15" hidden="false" customHeight="false" outlineLevel="0" collapsed="false">
      <c r="A89" s="10" t="s">
        <v>623</v>
      </c>
      <c r="B89" s="36" t="s">
        <v>169</v>
      </c>
      <c r="D89" s="53" t="n">
        <f aca="false">MIN(D88,MAX(D86,0))</f>
        <v>0</v>
      </c>
      <c r="E89" s="53" t="n">
        <f aca="false">MIN(E88,MAX(E86,0))</f>
        <v>0</v>
      </c>
      <c r="F89" s="53" t="n">
        <f aca="false">MIN(F88,MAX(F86,0))</f>
        <v>0</v>
      </c>
      <c r="I89" s="53" t="n">
        <f aca="false">MIN(I88,MAX(I86,0))</f>
        <v>0</v>
      </c>
      <c r="J89" s="53" t="n">
        <f aca="false">MIN(J88,MAX(J86,0))</f>
        <v>0</v>
      </c>
      <c r="K89" s="53" t="n">
        <f aca="false">MIN(K88,MAX(K86,0))</f>
        <v>0</v>
      </c>
      <c r="N89" s="53" t="n">
        <f aca="false">MIN(N88,MAX(N86,0))</f>
        <v>0</v>
      </c>
      <c r="O89" s="53" t="n">
        <f aca="false">MIN(O88,MAX(O86,0))</f>
        <v>0</v>
      </c>
      <c r="P89" s="53" t="n">
        <f aca="false">MIN(P88,MAX(P86,0))</f>
        <v>0</v>
      </c>
    </row>
    <row r="90" customFormat="false" ht="15" hidden="false" customHeight="false" outlineLevel="0" collapsed="false">
      <c r="A90" s="10" t="s">
        <v>624</v>
      </c>
      <c r="B90" s="36" t="s">
        <v>169</v>
      </c>
      <c r="D90" s="53" t="n">
        <f aca="false">MAX(-D86,0)</f>
        <v>4407738.375</v>
      </c>
      <c r="E90" s="53" t="n">
        <f aca="false">MAX(-E86,0)</f>
        <v>4306233.91459733</v>
      </c>
      <c r="F90" s="53" t="n">
        <f aca="false">MAX(-F86,0)</f>
        <v>3442172.76709039</v>
      </c>
      <c r="I90" s="53" t="n">
        <f aca="false">MAX(-I86,0)</f>
        <v>4829212.558125</v>
      </c>
      <c r="J90" s="53" t="n">
        <f aca="false">MAX(-J86,0)</f>
        <v>5310427.96369012</v>
      </c>
      <c r="K90" s="53" t="n">
        <f aca="false">MAX(-K86,0)</f>
        <v>5433301.73583969</v>
      </c>
      <c r="N90" s="53" t="n">
        <f aca="false">MAX(-N86,0)</f>
        <v>4237316.0295</v>
      </c>
      <c r="O90" s="53" t="n">
        <f aca="false">MAX(-O86,0)</f>
        <v>3622634.67234717</v>
      </c>
      <c r="P90" s="53" t="n">
        <f aca="false">MAX(-P86,0)</f>
        <v>1848310.50948115</v>
      </c>
    </row>
    <row r="91" customFormat="false" ht="15" hidden="false" customHeight="false" outlineLevel="0" collapsed="false">
      <c r="A91" s="10" t="s">
        <v>625</v>
      </c>
      <c r="B91" s="36" t="s">
        <v>169</v>
      </c>
      <c r="C91" s="53" t="n">
        <f aca="false">MAX(-C86,0)</f>
        <v>1690000</v>
      </c>
      <c r="D91" s="53" t="n">
        <f aca="false">D88-D89+D90</f>
        <v>6097738.375</v>
      </c>
      <c r="E91" s="53" t="n">
        <f aca="false">E88-E89+E90</f>
        <v>10403972.2895973</v>
      </c>
      <c r="F91" s="53" t="n">
        <f aca="false">F88-F89+F90</f>
        <v>13846145.0566877</v>
      </c>
      <c r="H91" s="53" t="n">
        <f aca="false">MAX(-H86,0)</f>
        <v>1690000</v>
      </c>
      <c r="I91" s="53" t="n">
        <f aca="false">I88-I89+I90</f>
        <v>6519212.558125</v>
      </c>
      <c r="J91" s="53" t="n">
        <f aca="false">J88-J89+J90</f>
        <v>11829640.5218151</v>
      </c>
      <c r="K91" s="53" t="n">
        <f aca="false">K88-K89+K90</f>
        <v>17262942.2576548</v>
      </c>
      <c r="M91" s="53" t="n">
        <f aca="false">MAX(-M86,0)</f>
        <v>1690000</v>
      </c>
      <c r="N91" s="53" t="n">
        <f aca="false">N88-N89+N90</f>
        <v>5927316.0295</v>
      </c>
      <c r="O91" s="53" t="n">
        <f aca="false">O88-O89+O90</f>
        <v>9549950.70184717</v>
      </c>
      <c r="P91" s="53" t="n">
        <f aca="false">P88-P89+P90</f>
        <v>11398261.2113283</v>
      </c>
    </row>
    <row r="92" customFormat="false" ht="15" hidden="false" customHeight="false" outlineLevel="0" collapsed="false">
      <c r="A92" s="10" t="s">
        <v>626</v>
      </c>
      <c r="B92" s="36" t="s">
        <v>169</v>
      </c>
      <c r="D92" s="53" t="n">
        <f aca="false">MAX(D86,0)-D89</f>
        <v>0</v>
      </c>
      <c r="E92" s="53" t="n">
        <f aca="false">MAX(E86,0)-E89</f>
        <v>0</v>
      </c>
      <c r="F92" s="53" t="n">
        <f aca="false">MAX(F86,0)-F89</f>
        <v>0</v>
      </c>
      <c r="I92" s="53" t="n">
        <f aca="false">MAX(I86,0)-I89</f>
        <v>0</v>
      </c>
      <c r="J92" s="53" t="n">
        <f aca="false">MAX(J86,0)-J89</f>
        <v>0</v>
      </c>
      <c r="K92" s="53" t="n">
        <f aca="false">MAX(K86,0)-K89</f>
        <v>0</v>
      </c>
      <c r="N92" s="53" t="n">
        <f aca="false">MAX(N86,0)-N89</f>
        <v>0</v>
      </c>
      <c r="O92" s="53" t="n">
        <f aca="false">MAX(O86,0)-O89</f>
        <v>0</v>
      </c>
      <c r="P92" s="53" t="n">
        <f aca="false">MAX(P86,0)-P89</f>
        <v>0</v>
      </c>
    </row>
    <row r="93" customFormat="false" ht="15" hidden="false" customHeight="false" outlineLevel="0" collapsed="false">
      <c r="A93" s="10" t="s">
        <v>627</v>
      </c>
      <c r="B93" s="36" t="s">
        <v>169</v>
      </c>
      <c r="D93" s="53" t="n">
        <f aca="false">D92*D87</f>
        <v>0</v>
      </c>
      <c r="E93" s="53" t="n">
        <f aca="false">E92*E87</f>
        <v>0</v>
      </c>
      <c r="F93" s="53" t="n">
        <f aca="false">F92*F87</f>
        <v>0</v>
      </c>
      <c r="I93" s="53" t="n">
        <f aca="false">I92*I87</f>
        <v>0</v>
      </c>
      <c r="J93" s="53" t="n">
        <f aca="false">J92*J87</f>
        <v>0</v>
      </c>
      <c r="K93" s="53" t="n">
        <f aca="false">K92*K87</f>
        <v>0</v>
      </c>
      <c r="N93" s="53" t="n">
        <f aca="false">N92*N87</f>
        <v>0</v>
      </c>
      <c r="O93" s="53" t="n">
        <f aca="false">O92*O87</f>
        <v>0</v>
      </c>
      <c r="P93" s="53" t="n">
        <f aca="false">P92*P87</f>
        <v>0</v>
      </c>
    </row>
    <row r="94" customFormat="false" ht="15" hidden="false" customHeight="false" outlineLevel="0" collapsed="false">
      <c r="A94" s="76" t="s">
        <v>628</v>
      </c>
      <c r="B94" s="77" t="s">
        <v>169</v>
      </c>
      <c r="C94" s="79" t="n">
        <f aca="false">C86-C93</f>
        <v>-1690000</v>
      </c>
      <c r="D94" s="79" t="n">
        <f aca="false">D86-D93</f>
        <v>-4407738.375</v>
      </c>
      <c r="E94" s="79" t="n">
        <f aca="false">E86-E93</f>
        <v>-4306233.91459733</v>
      </c>
      <c r="F94" s="79" t="n">
        <f aca="false">F86-F93</f>
        <v>-3442172.76709039</v>
      </c>
      <c r="H94" s="79" t="n">
        <f aca="false">H86-H93</f>
        <v>-1690000</v>
      </c>
      <c r="I94" s="79" t="n">
        <f aca="false">I86-I93</f>
        <v>-4829212.558125</v>
      </c>
      <c r="J94" s="79" t="n">
        <f aca="false">J86-J93</f>
        <v>-5310427.96369012</v>
      </c>
      <c r="K94" s="79" t="n">
        <f aca="false">K86-K93</f>
        <v>-5433301.73583969</v>
      </c>
      <c r="M94" s="79" t="n">
        <f aca="false">M86-M93</f>
        <v>-1690000</v>
      </c>
      <c r="N94" s="79" t="n">
        <f aca="false">N86-N93</f>
        <v>-4237316.0295</v>
      </c>
      <c r="O94" s="79" t="n">
        <f aca="false">O86-O93</f>
        <v>-3622634.67234717</v>
      </c>
      <c r="P94" s="79" t="n">
        <f aca="false">P86-P93</f>
        <v>-1848310.50948115</v>
      </c>
    </row>
    <row r="96" customFormat="false" ht="15" hidden="false" customHeight="false" outlineLevel="0" collapsed="false">
      <c r="A96" s="4" t="s">
        <v>629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customFormat="false" ht="15" hidden="false" customHeight="false" outlineLevel="0" collapsed="false">
      <c r="A97" s="10" t="s">
        <v>630</v>
      </c>
      <c r="B97" s="36" t="s">
        <v>169</v>
      </c>
      <c r="C97" s="53" t="n">
        <v>0</v>
      </c>
      <c r="D97" s="53" t="n">
        <f aca="false">D49*Assumptions!$C$24/365</f>
        <v>171665.753424658</v>
      </c>
      <c r="E97" s="53" t="n">
        <f aca="false">E49*Assumptions!$C$24/365</f>
        <v>516280.509369863</v>
      </c>
      <c r="F97" s="53" t="n">
        <f aca="false">F49*Assumptions!$C$24/365</f>
        <v>1051527.0779542</v>
      </c>
      <c r="H97" s="53" t="n">
        <v>0</v>
      </c>
      <c r="I97" s="53" t="n">
        <f aca="false">I49*Assumptions!$C$24/365</f>
        <v>106386.657534247</v>
      </c>
      <c r="J97" s="53" t="n">
        <f aca="false">J49*Assumptions!$C$24/365</f>
        <v>312460.100171753</v>
      </c>
      <c r="K97" s="53" t="n">
        <f aca="false">K49*Assumptions!$C$24/365</f>
        <v>625420.628518075</v>
      </c>
      <c r="M97" s="53" t="n">
        <v>0</v>
      </c>
      <c r="N97" s="53" t="n">
        <f aca="false">N49*Assumptions!$C$24/365</f>
        <v>231479.210958904</v>
      </c>
      <c r="O97" s="53" t="n">
        <f aca="false">O49*Assumptions!$C$24/365</f>
        <v>707564.87910217</v>
      </c>
      <c r="P97" s="53" t="n">
        <f aca="false">P49*Assumptions!$C$24/365</f>
        <v>1456941.90909789</v>
      </c>
    </row>
    <row r="98" customFormat="false" ht="15" hidden="false" customHeight="false" outlineLevel="0" collapsed="false">
      <c r="A98" s="10" t="s">
        <v>631</v>
      </c>
      <c r="B98" s="36" t="s">
        <v>169</v>
      </c>
      <c r="C98" s="53" t="n">
        <v>0</v>
      </c>
      <c r="D98" s="53" t="n">
        <f aca="false">D46*Assumptions!$C$25</f>
        <v>121575</v>
      </c>
      <c r="E98" s="53" t="n">
        <f aca="false">E46*Assumptions!$C$25</f>
        <v>506176.608</v>
      </c>
      <c r="F98" s="53" t="n">
        <f aca="false">F46*Assumptions!$C$25</f>
        <v>1180697.43105534</v>
      </c>
      <c r="H98" s="53" t="n">
        <v>0</v>
      </c>
      <c r="I98" s="53" t="n">
        <f aca="false">I46*Assumptions!$C$25</f>
        <v>71121.375</v>
      </c>
      <c r="J98" s="53" t="n">
        <f aca="false">J46*Assumptions!$C$25</f>
        <v>293849.735677875</v>
      </c>
      <c r="K98" s="53" t="n">
        <f aca="false">K46*Assumptions!$C$25</f>
        <v>679135.539204572</v>
      </c>
      <c r="M98" s="53" t="n">
        <v>0</v>
      </c>
      <c r="N98" s="53" t="n">
        <f aca="false">N46*Assumptions!$C$25</f>
        <v>170691.3</v>
      </c>
      <c r="O98" s="53" t="n">
        <f aca="false">O46*Assumptions!$C$25</f>
        <v>713388.25363455</v>
      </c>
      <c r="P98" s="53" t="n">
        <f aca="false">P46*Assumptions!$C$25</f>
        <v>1671715.82008638</v>
      </c>
    </row>
    <row r="99" customFormat="false" ht="15" hidden="false" customHeight="false" outlineLevel="0" collapsed="false">
      <c r="A99" s="10" t="s">
        <v>632</v>
      </c>
      <c r="B99" s="36" t="s">
        <v>169</v>
      </c>
      <c r="C99" s="53" t="n">
        <v>0</v>
      </c>
      <c r="D99" s="53" t="n">
        <f aca="false">(D53+D71+D72+D73)*Assumptions!$C$26/365</f>
        <v>100632</v>
      </c>
      <c r="E99" s="53" t="n">
        <f aca="false">(E53+E71+E72+E73)*Assumptions!$C$26/365</f>
        <v>158617.378507397</v>
      </c>
      <c r="F99" s="53" t="n">
        <f aca="false">(F53+F71+F72+F73)*Assumptions!$C$26/365</f>
        <v>227002.287690951</v>
      </c>
      <c r="H99" s="53" t="n">
        <v>0</v>
      </c>
      <c r="I99" s="53" t="n">
        <f aca="false">(I53+I71+I72+I73)*Assumptions!$C$26/365</f>
        <v>103433.281643836</v>
      </c>
      <c r="J99" s="53" t="n">
        <f aca="false">(J53+J71+J72+J73)*Assumptions!$C$26/365</f>
        <v>157173.030667839</v>
      </c>
      <c r="K99" s="53" t="n">
        <f aca="false">(K53+K71+K72+K73)*Assumptions!$C$26/365</f>
        <v>216235.707848071</v>
      </c>
      <c r="M99" s="53" t="n">
        <v>0</v>
      </c>
      <c r="N99" s="53" t="n">
        <f aca="false">(N53+N71+N72+N73)*Assumptions!$C$26/365</f>
        <v>102569.738958904</v>
      </c>
      <c r="O99" s="53" t="n">
        <f aca="false">(O53+O71+O72+O73)*Assumptions!$C$26/365</f>
        <v>166792.303705034</v>
      </c>
      <c r="P99" s="53" t="n">
        <f aca="false">(P53+P71+P72+P73)*Assumptions!$C$26/365</f>
        <v>246373.97208012</v>
      </c>
    </row>
    <row r="100" customFormat="false" ht="15" hidden="false" customHeight="false" outlineLevel="0" collapsed="false">
      <c r="A100" s="10" t="s">
        <v>633</v>
      </c>
      <c r="B100" s="36" t="s">
        <v>169</v>
      </c>
      <c r="C100" s="53" t="n">
        <f aca="false">C97-C98-C99</f>
        <v>0</v>
      </c>
      <c r="D100" s="53" t="n">
        <f aca="false">D97-D98-D99</f>
        <v>-50541.2465753425</v>
      </c>
      <c r="E100" s="53" t="n">
        <f aca="false">E97-E98-E99</f>
        <v>-148513.477137534</v>
      </c>
      <c r="F100" s="53" t="n">
        <f aca="false">F97-F98-F99</f>
        <v>-356172.640792096</v>
      </c>
      <c r="H100" s="53" t="n">
        <f aca="false">H97-H98-H99</f>
        <v>0</v>
      </c>
      <c r="I100" s="53" t="n">
        <f aca="false">I97-I98-I99</f>
        <v>-68167.999109589</v>
      </c>
      <c r="J100" s="53" t="n">
        <f aca="false">J97-J98-J99</f>
        <v>-138562.666173961</v>
      </c>
      <c r="K100" s="53" t="n">
        <f aca="false">K97-K98-K99</f>
        <v>-269950.618534568</v>
      </c>
      <c r="M100" s="53" t="n">
        <f aca="false">M97-M98-M99</f>
        <v>0</v>
      </c>
      <c r="N100" s="53" t="n">
        <f aca="false">N97-N98-N99</f>
        <v>-41781.828</v>
      </c>
      <c r="O100" s="53" t="n">
        <f aca="false">O97-O98-O99</f>
        <v>-172615.678237414</v>
      </c>
      <c r="P100" s="53" t="n">
        <f aca="false">P97-P98-P99</f>
        <v>-461147.883068606</v>
      </c>
    </row>
    <row r="101" customFormat="false" ht="15" hidden="false" customHeight="false" outlineLevel="0" collapsed="false">
      <c r="A101" s="10" t="s">
        <v>634</v>
      </c>
      <c r="B101" s="36" t="s">
        <v>169</v>
      </c>
      <c r="D101" s="53" t="n">
        <f aca="false">D100-C100</f>
        <v>-50541.2465753425</v>
      </c>
      <c r="E101" s="53" t="n">
        <f aca="false">E100-D100</f>
        <v>-97972.2305621918</v>
      </c>
      <c r="F101" s="53" t="n">
        <f aca="false">F100-E100</f>
        <v>-207659.163654561</v>
      </c>
      <c r="I101" s="53" t="n">
        <f aca="false">I100-H100</f>
        <v>-68167.999109589</v>
      </c>
      <c r="J101" s="53" t="n">
        <f aca="false">J100-I100</f>
        <v>-70394.667064372</v>
      </c>
      <c r="K101" s="53" t="n">
        <f aca="false">K100-J100</f>
        <v>-131387.952360607</v>
      </c>
      <c r="N101" s="53" t="n">
        <f aca="false">N100-M100</f>
        <v>-41781.828</v>
      </c>
      <c r="O101" s="53" t="n">
        <f aca="false">O100-N100</f>
        <v>-130833.850237414</v>
      </c>
      <c r="P101" s="53" t="n">
        <f aca="false">P100-O100</f>
        <v>-288532.204831191</v>
      </c>
    </row>
    <row r="102" customFormat="false" ht="15" hidden="false" customHeight="false" outlineLevel="0" collapsed="false">
      <c r="A102" s="76" t="s">
        <v>635</v>
      </c>
      <c r="B102" s="77" t="s">
        <v>169</v>
      </c>
      <c r="C102" s="79" t="n">
        <f aca="false">C79-C93-C101-C83</f>
        <v>-1690000</v>
      </c>
      <c r="D102" s="79" t="n">
        <f aca="false">D79-D93-D101-D83</f>
        <v>-4405197.12842466</v>
      </c>
      <c r="E102" s="79" t="n">
        <f aca="false">E79-E93-E101-E83</f>
        <v>-4218928.35070181</v>
      </c>
      <c r="F102" s="79" t="n">
        <f aca="false">F79-F93-F101-F83</f>
        <v>-3222513.60343583</v>
      </c>
      <c r="H102" s="79" t="n">
        <f aca="false">H79-H93-H101-H83</f>
        <v>-1690000</v>
      </c>
      <c r="I102" s="79" t="n">
        <f aca="false">I79-I93-I101-I83</f>
        <v>-4809044.55901541</v>
      </c>
      <c r="J102" s="79" t="n">
        <f aca="false">J79-J93-J101-J83</f>
        <v>-5250699.96329242</v>
      </c>
      <c r="K102" s="79" t="n">
        <f aca="false">K79-K93-K101-K83</f>
        <v>-5289913.78347908</v>
      </c>
      <c r="M102" s="79" t="n">
        <f aca="false">M79-M93-M101-M83</f>
        <v>-1690000</v>
      </c>
      <c r="N102" s="79" t="n">
        <f aca="false">N79-N93-N101-N83</f>
        <v>-4243534.2015</v>
      </c>
      <c r="O102" s="79" t="n">
        <f aca="false">O79-O93-O101-O83</f>
        <v>-3502467.48877643</v>
      </c>
      <c r="P102" s="79" t="n">
        <f aca="false">P79-P93-P101-P83</f>
        <v>-1547778.30464996</v>
      </c>
    </row>
    <row r="103" customFormat="false" ht="15" hidden="false" customHeight="false" outlineLevel="0" collapsed="false">
      <c r="A103" s="7" t="s">
        <v>104</v>
      </c>
      <c r="B103" s="36" t="s">
        <v>169</v>
      </c>
      <c r="C103" s="52" t="n">
        <f aca="false">C102</f>
        <v>-1690000</v>
      </c>
      <c r="D103" s="52" t="n">
        <f aca="false">C103+D102</f>
        <v>-6095197.12842466</v>
      </c>
      <c r="E103" s="52" t="n">
        <f aca="false">D103+E102</f>
        <v>-10314125.4791265</v>
      </c>
      <c r="F103" s="52" t="n">
        <f aca="false">E103+F102</f>
        <v>-13536639.0825623</v>
      </c>
      <c r="H103" s="52" t="n">
        <f aca="false">H102</f>
        <v>-1690000</v>
      </c>
      <c r="I103" s="52" t="n">
        <f aca="false">H103+I102</f>
        <v>-6499044.55901541</v>
      </c>
      <c r="J103" s="52" t="n">
        <f aca="false">I103+J102</f>
        <v>-11749744.5223078</v>
      </c>
      <c r="K103" s="52" t="n">
        <f aca="false">J103+K102</f>
        <v>-17039658.3057869</v>
      </c>
      <c r="M103" s="52" t="n">
        <f aca="false">M102</f>
        <v>-1690000</v>
      </c>
      <c r="N103" s="52" t="n">
        <f aca="false">M103+N102</f>
        <v>-5933534.2015</v>
      </c>
      <c r="O103" s="52" t="n">
        <f aca="false">N103+O102</f>
        <v>-9436001.69027643</v>
      </c>
      <c r="P103" s="52" t="n">
        <f aca="false">O103+P102</f>
        <v>-10983779.9949264</v>
      </c>
    </row>
    <row r="105" customFormat="false" ht="15" hidden="false" customHeight="false" outlineLevel="0" collapsed="false">
      <c r="A105" s="4" t="s">
        <v>636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customFormat="false" ht="15" hidden="false" customHeight="false" outlineLevel="0" collapsed="false">
      <c r="A106" s="10" t="s">
        <v>637</v>
      </c>
      <c r="B106" s="36" t="s">
        <v>137</v>
      </c>
      <c r="C106" s="54" t="n">
        <f aca="false">1/(1+Assumptions!$C$8)^0</f>
        <v>1</v>
      </c>
      <c r="D106" s="54" t="n">
        <f aca="false">1/(1+Assumptions!$C$8)^1</f>
        <v>0.892857142857143</v>
      </c>
      <c r="E106" s="54" t="n">
        <f aca="false">1/(1+Assumptions!$C$8)^2</f>
        <v>0.79719387755102</v>
      </c>
      <c r="F106" s="54" t="n">
        <f aca="false">1/(1+Assumptions!$C$8)^3</f>
        <v>0.711780247813411</v>
      </c>
      <c r="H106" s="54" t="n">
        <f aca="false">1/(1+Assumptions!$C$8)^0</f>
        <v>1</v>
      </c>
      <c r="I106" s="54" t="n">
        <f aca="false">1/(1+Assumptions!$C$8)^1</f>
        <v>0.892857142857143</v>
      </c>
      <c r="J106" s="54" t="n">
        <f aca="false">1/(1+Assumptions!$C$8)^2</f>
        <v>0.79719387755102</v>
      </c>
      <c r="K106" s="54" t="n">
        <f aca="false">1/(1+Assumptions!$C$8)^3</f>
        <v>0.711780247813411</v>
      </c>
      <c r="M106" s="54" t="n">
        <f aca="false">1/(1+Assumptions!$C$8)^0</f>
        <v>1</v>
      </c>
      <c r="N106" s="54" t="n">
        <f aca="false">1/(1+Assumptions!$C$8)^1</f>
        <v>0.892857142857143</v>
      </c>
      <c r="O106" s="54" t="n">
        <f aca="false">1/(1+Assumptions!$C$8)^2</f>
        <v>0.79719387755102</v>
      </c>
      <c r="P106" s="54" t="n">
        <f aca="false">1/(1+Assumptions!$C$8)^3</f>
        <v>0.711780247813411</v>
      </c>
    </row>
    <row r="107" customFormat="false" ht="15" hidden="false" customHeight="false" outlineLevel="0" collapsed="false">
      <c r="A107" s="10" t="s">
        <v>638</v>
      </c>
      <c r="B107" s="36" t="s">
        <v>169</v>
      </c>
      <c r="C107" s="53" t="n">
        <f aca="false">C102*C106</f>
        <v>-1690000</v>
      </c>
      <c r="D107" s="53" t="n">
        <f aca="false">D102*D106</f>
        <v>-3933211.72180773</v>
      </c>
      <c r="E107" s="53" t="n">
        <f aca="false">E102*E106</f>
        <v>-3363303.8510059</v>
      </c>
      <c r="F107" s="53" t="n">
        <f aca="false">F102*F106</f>
        <v>-2293721.53123564</v>
      </c>
      <c r="H107" s="53" t="n">
        <f aca="false">H102*H106</f>
        <v>-1690000</v>
      </c>
      <c r="I107" s="53" t="n">
        <f aca="false">I102*I106</f>
        <v>-4293789.78483519</v>
      </c>
      <c r="J107" s="53" t="n">
        <f aca="false">J102*J106</f>
        <v>-4185825.86359408</v>
      </c>
      <c r="K107" s="53" t="n">
        <f aca="false">K102*K106</f>
        <v>-3765256.14371632</v>
      </c>
      <c r="M107" s="53" t="n">
        <f aca="false">M102*M106</f>
        <v>-1690000</v>
      </c>
      <c r="N107" s="53" t="n">
        <f aca="false">N102*N106</f>
        <v>-3788869.82276786</v>
      </c>
      <c r="O107" s="53" t="n">
        <f aca="false">O102*O106</f>
        <v>-2792145.63837406</v>
      </c>
      <c r="P107" s="53" t="n">
        <f aca="false">P102*P106</f>
        <v>-1101678.02524397</v>
      </c>
    </row>
    <row r="109" customFormat="false" ht="15" hidden="false" customHeight="false" outlineLevel="0" collapsed="false">
      <c r="A109" s="4" t="s">
        <v>639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customFormat="false" ht="15" hidden="false" customHeight="false" outlineLevel="0" collapsed="false">
      <c r="A110" s="10" t="s">
        <v>640</v>
      </c>
      <c r="B110" s="36" t="s">
        <v>169</v>
      </c>
      <c r="F110" s="53" t="n">
        <f aca="false">F50*Assumptions!$C$69*(1-Assumptions!$C$15)*(1-Assumptions!$C$14)</f>
        <v>1025052.33873305</v>
      </c>
      <c r="K110" s="53" t="n">
        <f aca="false">K50*Assumptions!$C$69*(1-Assumptions!$C$15)*(1-Assumptions!$C$14)</f>
        <v>587611.493214256</v>
      </c>
      <c r="P110" s="53" t="n">
        <f aca="false">P50*Assumptions!$C$69*(1-Assumptions!$C$15)*(1-Assumptions!$C$14)</f>
        <v>1453796.73615773</v>
      </c>
    </row>
    <row r="111" customFormat="false" ht="15" hidden="false" customHeight="false" outlineLevel="0" collapsed="false">
      <c r="A111" s="10" t="s">
        <v>641</v>
      </c>
      <c r="B111" s="36" t="s">
        <v>169</v>
      </c>
      <c r="F111" s="53" t="n">
        <f aca="false">F110*(1+Assumptions!$C$9)/(Assumptions!$C$8-Assumptions!$C$9)*(1-Assumptions!$C$10)</f>
        <v>9384923.63462259</v>
      </c>
      <c r="K111" s="53" t="n">
        <f aca="false">K110*(1+Assumptions!$C$9)/(Assumptions!$C$8-Assumptions!$C$9)*(1-Assumptions!$C$10)</f>
        <v>5379909.67120608</v>
      </c>
      <c r="P111" s="53" t="n">
        <f aca="false">P110*(1+Assumptions!$C$9)/(Assumptions!$C$8-Assumptions!$C$9)*(1-Assumptions!$C$10)</f>
        <v>13310316.7843775</v>
      </c>
    </row>
    <row r="112" customFormat="false" ht="15" hidden="false" customHeight="false" outlineLevel="0" collapsed="false">
      <c r="A112" s="10" t="s">
        <v>642</v>
      </c>
      <c r="B112" s="36" t="s">
        <v>169</v>
      </c>
      <c r="F112" s="53" t="n">
        <f aca="false">F111*F106</f>
        <v>6680003.2703616</v>
      </c>
      <c r="K112" s="53" t="n">
        <f aca="false">K111*K106</f>
        <v>3829313.43898483</v>
      </c>
      <c r="P112" s="53" t="n">
        <f aca="false">P111*P106</f>
        <v>9474020.57925918</v>
      </c>
    </row>
    <row r="114" customFormat="false" ht="15" hidden="false" customHeight="false" outlineLevel="0" collapsed="false">
      <c r="A114" s="4" t="s">
        <v>643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 customFormat="false" ht="15" hidden="false" customHeight="false" outlineLevel="0" collapsed="false">
      <c r="A115" s="10" t="s">
        <v>644</v>
      </c>
      <c r="B115" s="36" t="s">
        <v>127</v>
      </c>
      <c r="D115" s="46" t="n">
        <f aca="false">IF(E50=0,0,MIN(Assumptions!$C$13,F50/E50-1))*Assumptions!$C$12</f>
        <v>0.36</v>
      </c>
      <c r="E115" s="46" t="n">
        <f aca="false">D115*Assumptions!$C$12</f>
        <v>0.216</v>
      </c>
      <c r="F115" s="46" t="n">
        <f aca="false">E115*Assumptions!$C$12</f>
        <v>0.1296</v>
      </c>
      <c r="I115" s="46" t="n">
        <f aca="false">IF(J50=0,0,MIN(Assumptions!$C$13,K50/J50-1))*Assumptions!$C$12</f>
        <v>0.36</v>
      </c>
      <c r="J115" s="46" t="n">
        <f aca="false">I115*Assumptions!$C$12</f>
        <v>0.216</v>
      </c>
      <c r="K115" s="46" t="n">
        <f aca="false">J115*Assumptions!$C$12</f>
        <v>0.1296</v>
      </c>
      <c r="N115" s="46" t="n">
        <f aca="false">IF(O50=0,0,MIN(Assumptions!$C$13,P50/O50-1))*Assumptions!$C$12</f>
        <v>0.36</v>
      </c>
      <c r="O115" s="46" t="n">
        <f aca="false">N115*Assumptions!$C$12</f>
        <v>0.216</v>
      </c>
      <c r="P115" s="46" t="n">
        <f aca="false">O115*Assumptions!$C$12</f>
        <v>0.1296</v>
      </c>
    </row>
    <row r="116" customFormat="false" ht="15" hidden="false" customHeight="false" outlineLevel="0" collapsed="false">
      <c r="A116" s="10" t="s">
        <v>645</v>
      </c>
      <c r="B116" s="36" t="s">
        <v>169</v>
      </c>
      <c r="D116" s="53" t="n">
        <f aca="false">F50*(1+D115)</f>
        <v>8492149.00509836</v>
      </c>
      <c r="E116" s="53" t="n">
        <f aca="false">D116*(1+E115)</f>
        <v>10326453.1901996</v>
      </c>
      <c r="F116" s="53" t="n">
        <f aca="false">E116*(1+F115)</f>
        <v>11664761.5236495</v>
      </c>
      <c r="I116" s="53" t="n">
        <f aca="false">K50*(1+I115)</f>
        <v>4868126.40577112</v>
      </c>
      <c r="J116" s="53" t="n">
        <f aca="false">I116*(1+J115)</f>
        <v>5919641.70941769</v>
      </c>
      <c r="K116" s="53" t="n">
        <f aca="false">J116*(1+K115)</f>
        <v>6686827.27495822</v>
      </c>
      <c r="N116" s="53" t="n">
        <f aca="false">P50*(1+N115)</f>
        <v>12044125.0071547</v>
      </c>
      <c r="O116" s="53" t="n">
        <f aca="false">N116*(1+O115)</f>
        <v>14645656.0087001</v>
      </c>
      <c r="P116" s="53" t="n">
        <f aca="false">O116*(1+P115)</f>
        <v>16543733.0274276</v>
      </c>
    </row>
    <row r="117" customFormat="false" ht="15" hidden="false" customHeight="false" outlineLevel="0" collapsed="false">
      <c r="A117" s="10" t="s">
        <v>646</v>
      </c>
      <c r="B117" s="36" t="s">
        <v>169</v>
      </c>
      <c r="D117" s="53" t="n">
        <f aca="false">(F50+D116)/2</f>
        <v>7368188.10736476</v>
      </c>
      <c r="E117" s="53" t="n">
        <f aca="false">(D116+E116)/2</f>
        <v>9409301.09764899</v>
      </c>
      <c r="F117" s="53" t="n">
        <f aca="false">(E116+F116)/2</f>
        <v>10995607.3569245</v>
      </c>
      <c r="I117" s="53" t="n">
        <f aca="false">(K50+I116)/2</f>
        <v>4223815.55794848</v>
      </c>
      <c r="J117" s="53" t="n">
        <f aca="false">(I116+J116)/2</f>
        <v>5393884.05759441</v>
      </c>
      <c r="K117" s="53" t="n">
        <f aca="false">(J116+K116)/2</f>
        <v>6303234.49218795</v>
      </c>
      <c r="N117" s="53" t="n">
        <f aca="false">(P50+N116)/2</f>
        <v>10450049.6385607</v>
      </c>
      <c r="O117" s="53" t="n">
        <f aca="false">(N116+O116)/2</f>
        <v>13344890.5079274</v>
      </c>
      <c r="P117" s="53" t="n">
        <f aca="false">(O116+P116)/2</f>
        <v>15594694.5180639</v>
      </c>
    </row>
    <row r="118" customFormat="false" ht="15" hidden="false" customHeight="false" outlineLevel="0" collapsed="false">
      <c r="A118" s="10" t="s">
        <v>647</v>
      </c>
      <c r="B118" s="36" t="s">
        <v>127</v>
      </c>
      <c r="D118" s="46" t="n">
        <f aca="false">IF(F50=0,0,F79/F50)+(Assumptions!$C$69-IF(F50=0,0,F79/F50))*1/3</f>
        <v>-0.281525683740606</v>
      </c>
      <c r="E118" s="46" t="n">
        <f aca="false">IF(F50=0,0,F79/F50)+(Assumptions!$C$69-IF(F50=0,0,F79/F50))*2/3</f>
        <v>-0.0207628418703028</v>
      </c>
      <c r="F118" s="46" t="n">
        <f aca="false">IF(F50=0,0,F79/F50)+(Assumptions!$C$69-IF(F50=0,0,F79/F50))*3/3</f>
        <v>0.24</v>
      </c>
      <c r="I118" s="46" t="n">
        <f aca="false">IF(K50=0,0,K79/K50)+(Assumptions!$C$69-IF(K50=0,0,K79/K50))*1/3</f>
        <v>-0.921498283757563</v>
      </c>
      <c r="J118" s="46" t="n">
        <f aca="false">IF(K50=0,0,K79/K50)+(Assumptions!$C$69-IF(K50=0,0,K79/K50))*2/3</f>
        <v>-0.340749141878781</v>
      </c>
      <c r="K118" s="46" t="n">
        <f aca="false">IF(K50=0,0,K79/K50)+(Assumptions!$C$69-IF(K50=0,0,K79/K50))*3/3</f>
        <v>0.24</v>
      </c>
      <c r="N118" s="46" t="n">
        <f aca="false">IF(P50=0,0,P79/P50)+(Assumptions!$C$69-IF(P50=0,0,P79/P50))*1/3</f>
        <v>-0.0549228934686062</v>
      </c>
      <c r="O118" s="46" t="n">
        <f aca="false">IF(P50=0,0,P79/P50)+(Assumptions!$C$69-IF(P50=0,0,P79/P50))*2/3</f>
        <v>0.0925385532656969</v>
      </c>
      <c r="P118" s="46" t="n">
        <f aca="false">IF(P50=0,0,P79/P50)+(Assumptions!$C$69-IF(P50=0,0,P79/P50))*3/3</f>
        <v>0.24</v>
      </c>
    </row>
    <row r="119" customFormat="false" ht="15" hidden="false" customHeight="false" outlineLevel="0" collapsed="false">
      <c r="A119" s="7" t="s">
        <v>648</v>
      </c>
      <c r="B119" s="36" t="s">
        <v>169</v>
      </c>
      <c r="D119" s="52" t="n">
        <f aca="false">D117*D118</f>
        <v>-2074334.19485526</v>
      </c>
      <c r="E119" s="52" t="n">
        <f aca="false">E117*E118</f>
        <v>-195363.830800552</v>
      </c>
      <c r="F119" s="52" t="n">
        <f aca="false">F117*F118</f>
        <v>2638945.76566189</v>
      </c>
      <c r="I119" s="52" t="n">
        <f aca="false">I117*I118</f>
        <v>-3892238.78755801</v>
      </c>
      <c r="J119" s="52" t="n">
        <f aca="false">J117*J118</f>
        <v>-1837961.36401893</v>
      </c>
      <c r="K119" s="52" t="n">
        <f aca="false">K117*K118</f>
        <v>1512776.27812511</v>
      </c>
      <c r="N119" s="52" t="n">
        <f aca="false">N117*N118</f>
        <v>-573946.963040315</v>
      </c>
      <c r="O119" s="52" t="n">
        <f aca="false">O117*O118</f>
        <v>1234916.86109273</v>
      </c>
      <c r="P119" s="52" t="n">
        <f aca="false">P117*P118</f>
        <v>3742726.68433533</v>
      </c>
    </row>
    <row r="120" customFormat="false" ht="15" hidden="false" customHeight="false" outlineLevel="0" collapsed="false">
      <c r="A120" s="10" t="s">
        <v>649</v>
      </c>
      <c r="B120" s="36" t="s">
        <v>169</v>
      </c>
      <c r="D120" s="53" t="n">
        <f aca="false">F91</f>
        <v>13846145.0566877</v>
      </c>
      <c r="E120" s="53" t="n">
        <f aca="false">D122</f>
        <v>15920479.251543</v>
      </c>
      <c r="F120" s="53" t="n">
        <f aca="false">E122</f>
        <v>16115843.0823435</v>
      </c>
      <c r="I120" s="53" t="n">
        <f aca="false">K91</f>
        <v>17262942.2576548</v>
      </c>
      <c r="J120" s="53" t="n">
        <f aca="false">I122</f>
        <v>21155181.0452128</v>
      </c>
      <c r="K120" s="53" t="n">
        <f aca="false">J122</f>
        <v>22993142.4092318</v>
      </c>
      <c r="N120" s="53" t="n">
        <f aca="false">P91</f>
        <v>11398261.2113283</v>
      </c>
      <c r="O120" s="53" t="n">
        <f aca="false">N122</f>
        <v>11972208.1743686</v>
      </c>
      <c r="P120" s="53" t="n">
        <f aca="false">O122</f>
        <v>10737291.3132759</v>
      </c>
    </row>
    <row r="121" customFormat="false" ht="15" hidden="false" customHeight="false" outlineLevel="0" collapsed="false">
      <c r="A121" s="10" t="s">
        <v>650</v>
      </c>
      <c r="B121" s="36" t="s">
        <v>169</v>
      </c>
      <c r="D121" s="53" t="n">
        <f aca="false">MIN(D120,MAX(D119,0))</f>
        <v>0</v>
      </c>
      <c r="E121" s="53" t="n">
        <f aca="false">MIN(E120,MAX(E119,0))</f>
        <v>0</v>
      </c>
      <c r="F121" s="53" t="n">
        <f aca="false">MIN(F120,MAX(F119,0))</f>
        <v>2638945.76566189</v>
      </c>
      <c r="I121" s="53" t="n">
        <f aca="false">MIN(I120,MAX(I119,0))</f>
        <v>0</v>
      </c>
      <c r="J121" s="53" t="n">
        <f aca="false">MIN(J120,MAX(J119,0))</f>
        <v>0</v>
      </c>
      <c r="K121" s="53" t="n">
        <f aca="false">MIN(K120,MAX(K119,0))</f>
        <v>1512776.27812511</v>
      </c>
      <c r="N121" s="53" t="n">
        <f aca="false">MIN(N120,MAX(N119,0))</f>
        <v>0</v>
      </c>
      <c r="O121" s="53" t="n">
        <f aca="false">MIN(O120,MAX(O119,0))</f>
        <v>1234916.86109273</v>
      </c>
      <c r="P121" s="53" t="n">
        <f aca="false">MIN(P120,MAX(P119,0))</f>
        <v>3742726.68433533</v>
      </c>
    </row>
    <row r="122" customFormat="false" ht="15" hidden="false" customHeight="false" outlineLevel="0" collapsed="false">
      <c r="A122" s="10" t="s">
        <v>651</v>
      </c>
      <c r="B122" s="36" t="s">
        <v>169</v>
      </c>
      <c r="D122" s="53" t="n">
        <f aca="false">D120-D121+MAX(-D119,0)</f>
        <v>15920479.251543</v>
      </c>
      <c r="E122" s="53" t="n">
        <f aca="false">E120-E121+MAX(-E119,0)</f>
        <v>16115843.0823435</v>
      </c>
      <c r="F122" s="53" t="n">
        <f aca="false">F120-F121+MAX(-F119,0)</f>
        <v>13476897.3166816</v>
      </c>
      <c r="I122" s="53" t="n">
        <f aca="false">I120-I121+MAX(-I119,0)</f>
        <v>21155181.0452128</v>
      </c>
      <c r="J122" s="53" t="n">
        <f aca="false">J120-J121+MAX(-J119,0)</f>
        <v>22993142.4092318</v>
      </c>
      <c r="K122" s="53" t="n">
        <f aca="false">K120-K121+MAX(-K119,0)</f>
        <v>21480366.1311066</v>
      </c>
      <c r="N122" s="53" t="n">
        <f aca="false">N120-N121+MAX(-N119,0)</f>
        <v>11972208.1743686</v>
      </c>
      <c r="O122" s="53" t="n">
        <f aca="false">O120-O121+MAX(-O119,0)</f>
        <v>10737291.3132759</v>
      </c>
      <c r="P122" s="53" t="n">
        <f aca="false">P120-P121+MAX(-P119,0)</f>
        <v>6994564.62894057</v>
      </c>
    </row>
    <row r="123" customFormat="false" ht="15" hidden="false" customHeight="false" outlineLevel="0" collapsed="false">
      <c r="A123" s="10" t="s">
        <v>652</v>
      </c>
      <c r="B123" s="36" t="s">
        <v>169</v>
      </c>
      <c r="D123" s="53" t="n">
        <f aca="false">(MAX(D119,0)-D121)*F87</f>
        <v>0</v>
      </c>
      <c r="E123" s="53" t="n">
        <f aca="false">(MAX(E119,0)-E121)*F87</f>
        <v>0</v>
      </c>
      <c r="F123" s="53" t="n">
        <f aca="false">(MAX(F119,0)-F121)*F87</f>
        <v>0</v>
      </c>
      <c r="I123" s="53" t="n">
        <f aca="false">(MAX(I119,0)-I121)*K87</f>
        <v>0</v>
      </c>
      <c r="J123" s="53" t="n">
        <f aca="false">(MAX(J119,0)-J121)*K87</f>
        <v>0</v>
      </c>
      <c r="K123" s="53" t="n">
        <f aca="false">(MAX(K119,0)-K121)*K87</f>
        <v>0</v>
      </c>
      <c r="N123" s="53" t="n">
        <f aca="false">(MAX(N119,0)-N121)*P87</f>
        <v>0</v>
      </c>
      <c r="O123" s="53" t="n">
        <f aca="false">(MAX(O119,0)-O121)*P87</f>
        <v>0</v>
      </c>
      <c r="P123" s="53" t="n">
        <f aca="false">(MAX(P119,0)-P121)*P87</f>
        <v>0</v>
      </c>
    </row>
    <row r="124" customFormat="false" ht="15" hidden="false" customHeight="false" outlineLevel="0" collapsed="false">
      <c r="A124" s="7" t="s">
        <v>653</v>
      </c>
      <c r="B124" s="36" t="s">
        <v>169</v>
      </c>
      <c r="D124" s="52" t="n">
        <f aca="false">D119-D123-Assumptions!$C$14*MAX(D119-D123,0)</f>
        <v>-2074334.19485526</v>
      </c>
      <c r="E124" s="52" t="n">
        <f aca="false">E119-E123-Assumptions!$C$14*MAX(E119-E123,0)</f>
        <v>-195363.830800552</v>
      </c>
      <c r="F124" s="52" t="n">
        <f aca="false">F119-F123-Assumptions!$C$14*MAX(F119-F123,0)</f>
        <v>2375051.1890957</v>
      </c>
      <c r="I124" s="52" t="n">
        <f aca="false">I119-I123-Assumptions!$C$14*MAX(I119-I123,0)</f>
        <v>-3892238.78755801</v>
      </c>
      <c r="J124" s="52" t="n">
        <f aca="false">J119-J123-Assumptions!$C$14*MAX(J119-J123,0)</f>
        <v>-1837961.36401893</v>
      </c>
      <c r="K124" s="52" t="n">
        <f aca="false">K119-K123-Assumptions!$C$14*MAX(K119-K123,0)</f>
        <v>1361498.6503126</v>
      </c>
      <c r="N124" s="52" t="n">
        <f aca="false">N119-N123-Assumptions!$C$14*MAX(N119-N123,0)</f>
        <v>-573946.963040315</v>
      </c>
      <c r="O124" s="52" t="n">
        <f aca="false">O119-O123-Assumptions!$C$14*MAX(O119-O123,0)</f>
        <v>1111425.17498346</v>
      </c>
      <c r="P124" s="52" t="n">
        <f aca="false">P119-P123-Assumptions!$C$14*MAX(P119-P123,0)</f>
        <v>3368454.0159018</v>
      </c>
    </row>
    <row r="125" customFormat="false" ht="15" hidden="false" customHeight="false" outlineLevel="0" collapsed="false">
      <c r="A125" s="10" t="s">
        <v>654</v>
      </c>
      <c r="B125" s="36" t="s">
        <v>169</v>
      </c>
      <c r="D125" s="53" t="n">
        <f aca="false">F103+D124</f>
        <v>-15610973.2774176</v>
      </c>
      <c r="E125" s="53" t="n">
        <f aca="false">D125+E124</f>
        <v>-15806337.1082181</v>
      </c>
      <c r="F125" s="53" t="n">
        <f aca="false">E125+F124</f>
        <v>-13431285.9191224</v>
      </c>
      <c r="I125" s="53" t="n">
        <f aca="false">K103+I124</f>
        <v>-20931897.0933449</v>
      </c>
      <c r="J125" s="53" t="n">
        <f aca="false">I125+J124</f>
        <v>-22769858.4573639</v>
      </c>
      <c r="K125" s="53" t="n">
        <f aca="false">J125+K124</f>
        <v>-21408359.8070513</v>
      </c>
      <c r="N125" s="53" t="n">
        <f aca="false">P103+N124</f>
        <v>-11557726.9579667</v>
      </c>
      <c r="O125" s="53" t="n">
        <f aca="false">N125+O124</f>
        <v>-10446301.7829832</v>
      </c>
      <c r="P125" s="53" t="n">
        <f aca="false">O125+P124</f>
        <v>-7077847.76708144</v>
      </c>
    </row>
    <row r="126" customFormat="false" ht="15" hidden="false" customHeight="false" outlineLevel="0" collapsed="false">
      <c r="A126" s="10" t="s">
        <v>655</v>
      </c>
      <c r="B126" s="36" t="s">
        <v>169</v>
      </c>
      <c r="D126" s="53" t="n">
        <f aca="false">D124/(1+Assumptions!$C$8)^4</f>
        <v>-1318276.88148385</v>
      </c>
      <c r="E126" s="53" t="n">
        <f aca="false">E124/(1+Assumptions!$C$8)^5</f>
        <v>-110854.684232298</v>
      </c>
      <c r="F126" s="53" t="n">
        <f aca="false">F124/(1+Assumptions!$C$8)^6</f>
        <v>1203274.84678508</v>
      </c>
      <c r="I126" s="53" t="n">
        <f aca="false">I124/(1+Assumptions!$C$8)^4</f>
        <v>-2473588.11496162</v>
      </c>
      <c r="J126" s="53" t="n">
        <f aca="false">J124/(1+Assumptions!$C$8)^5</f>
        <v>-1042908.63771753</v>
      </c>
      <c r="K126" s="53" t="n">
        <f aca="false">K124/(1+Assumptions!$C$8)^6</f>
        <v>689777.58768928</v>
      </c>
      <c r="N126" s="53" t="n">
        <f aca="false">N124/(1+Assumptions!$C$8)^4</f>
        <v>-364753.67105767</v>
      </c>
      <c r="O126" s="53" t="n">
        <f aca="false">O124/(1+Assumptions!$C$8)^5</f>
        <v>630652.492407358</v>
      </c>
      <c r="P126" s="53" t="n">
        <f aca="false">P124/(1+Assumptions!$C$8)^6</f>
        <v>1706563.63471058</v>
      </c>
    </row>
    <row r="127" customFormat="false" ht="15" hidden="false" customHeight="false" outlineLevel="0" collapsed="false">
      <c r="A127" s="10" t="s">
        <v>656</v>
      </c>
      <c r="B127" s="36" t="s">
        <v>169</v>
      </c>
      <c r="F127" s="53" t="n">
        <f aca="false">F116*Assumptions!$C$69*(1-Assumptions!$C$15)*(1-Assumptions!$C$14)</f>
        <v>1914887.2517223</v>
      </c>
      <c r="K127" s="53" t="n">
        <f aca="false">K116*Assumptions!$C$69*(1-Assumptions!$C$15)*(1-Assumptions!$C$14)</f>
        <v>1097709.56545714</v>
      </c>
      <c r="P127" s="53" t="n">
        <f aca="false">P116*Assumptions!$C$69*(1-Assumptions!$C$15)*(1-Assumptions!$C$14)</f>
        <v>2715819.21378252</v>
      </c>
    </row>
    <row r="128" customFormat="false" ht="15" hidden="false" customHeight="false" outlineLevel="0" collapsed="false">
      <c r="A128" s="10" t="s">
        <v>657</v>
      </c>
      <c r="B128" s="36" t="s">
        <v>169</v>
      </c>
      <c r="F128" s="53" t="n">
        <f aca="false">F127*(1+Assumptions!$C$9)/(Assumptions!$C$8-Assumptions!$C$9)*(1-Assumptions!$C$10)</f>
        <v>17531856.6157686</v>
      </c>
      <c r="K128" s="53" t="n">
        <f aca="false">K127*(1+Assumptions!$C$9)/(Assumptions!$C$8-Assumptions!$C$9)*(1-Assumptions!$C$10)</f>
        <v>10050140.9104076</v>
      </c>
      <c r="P128" s="53" t="n">
        <f aca="false">P127*(1+Assumptions!$C$9)/(Assumptions!$C$8-Assumptions!$C$9)*(1-Assumptions!$C$10)</f>
        <v>24864833.6906311</v>
      </c>
    </row>
    <row r="129" customFormat="false" ht="15" hidden="false" customHeight="false" outlineLevel="0" collapsed="false">
      <c r="A129" s="10" t="s">
        <v>658</v>
      </c>
      <c r="B129" s="36" t="s">
        <v>169</v>
      </c>
      <c r="F129" s="53" t="n">
        <f aca="false">F128/(1+Assumptions!$C$8)^6</f>
        <v>8882184.17356687</v>
      </c>
      <c r="K129" s="53" t="n">
        <f aca="false">K128/(1+Assumptions!$C$8)^6</f>
        <v>5091714.15742986</v>
      </c>
      <c r="P129" s="53" t="n">
        <f aca="false">P128/(1+Assumptions!$C$8)^6</f>
        <v>12597298.570572</v>
      </c>
    </row>
    <row r="131" customFormat="false" ht="15" hidden="false" customHeight="false" outlineLevel="0" collapsed="false">
      <c r="A131" s="4" t="s">
        <v>659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customFormat="false" ht="15" hidden="false" customHeight="false" outlineLevel="0" collapsed="false">
      <c r="A132" s="56" t="s">
        <v>660</v>
      </c>
      <c r="B132" s="80" t="s">
        <v>169</v>
      </c>
      <c r="C132" s="57" t="n">
        <f aca="false">SUM(D49:F49)</f>
        <v>10581796.1562214</v>
      </c>
      <c r="H132" s="57" t="n">
        <f aca="false">SUM(I49:K49)</f>
        <v>6352626.59952979</v>
      </c>
      <c r="M132" s="57" t="n">
        <f aca="false">SUM(N49:P49)</f>
        <v>14575581.4948837</v>
      </c>
    </row>
    <row r="133" customFormat="false" ht="15" hidden="false" customHeight="false" outlineLevel="0" collapsed="false">
      <c r="A133" s="56" t="s">
        <v>69</v>
      </c>
      <c r="B133" s="80" t="s">
        <v>169</v>
      </c>
      <c r="C133" s="57" t="n">
        <f aca="false">F49</f>
        <v>6396789.72422137</v>
      </c>
      <c r="H133" s="57" t="n">
        <f aca="false">K49</f>
        <v>3804642.15681829</v>
      </c>
      <c r="M133" s="57" t="n">
        <f aca="false">P49</f>
        <v>8863063.28034551</v>
      </c>
    </row>
    <row r="134" customFormat="false" ht="15" hidden="false" customHeight="false" outlineLevel="0" collapsed="false">
      <c r="A134" s="56" t="s">
        <v>70</v>
      </c>
      <c r="B134" s="80" t="s">
        <v>169</v>
      </c>
      <c r="C134" s="57" t="n">
        <f aca="false">F50</f>
        <v>6244227.20963115</v>
      </c>
      <c r="H134" s="57" t="n">
        <f aca="false">K50</f>
        <v>3579504.71012583</v>
      </c>
      <c r="M134" s="57" t="n">
        <f aca="false">P50</f>
        <v>8855974.26996669</v>
      </c>
    </row>
    <row r="135" customFormat="false" ht="15" hidden="false" customHeight="false" outlineLevel="0" collapsed="false">
      <c r="A135" s="56" t="s">
        <v>373</v>
      </c>
      <c r="B135" s="80" t="s">
        <v>550</v>
      </c>
      <c r="C135" s="58" t="n">
        <f aca="false">F34</f>
        <v>201.6639</v>
      </c>
      <c r="H135" s="58" t="n">
        <f aca="false">K34</f>
        <v>128.438505</v>
      </c>
      <c r="M135" s="58" t="n">
        <f aca="false">P34</f>
        <v>264.83769</v>
      </c>
    </row>
    <row r="136" customFormat="false" ht="15" hidden="false" customHeight="false" outlineLevel="0" collapsed="false">
      <c r="A136" s="56" t="s">
        <v>72</v>
      </c>
      <c r="B136" s="80" t="s">
        <v>169</v>
      </c>
      <c r="C136" s="57" t="n">
        <f aca="false">F79</f>
        <v>-3386172.76709039</v>
      </c>
      <c r="H136" s="57" t="n">
        <f aca="false">K79</f>
        <v>-5377301.73583969</v>
      </c>
      <c r="M136" s="57" t="n">
        <f aca="false">P79</f>
        <v>-1792310.50948115</v>
      </c>
    </row>
    <row r="137" customFormat="false" ht="15" hidden="false" customHeight="false" outlineLevel="0" collapsed="false">
      <c r="A137" s="56" t="s">
        <v>73</v>
      </c>
      <c r="B137" s="80" t="s">
        <v>127</v>
      </c>
      <c r="C137" s="81" t="n">
        <f aca="false">F80</f>
        <v>-0.529355022296369</v>
      </c>
      <c r="H137" s="81" t="n">
        <f aca="false">K80</f>
        <v>-1.41335282378739</v>
      </c>
      <c r="M137" s="81" t="n">
        <f aca="false">P80</f>
        <v>-0.202222465618149</v>
      </c>
    </row>
    <row r="138" customFormat="false" ht="15" hidden="false" customHeight="false" outlineLevel="0" collapsed="false">
      <c r="A138" s="56" t="s">
        <v>74</v>
      </c>
      <c r="B138" s="80"/>
      <c r="C138" s="56" t="str">
        <f aca="false">IF(D79&gt;0,"Year 1",IF(E79&gt;0,"Year 2",IF(F79&gt;0,"Year 3","After Year 3")))</f>
        <v>After Year 3</v>
      </c>
      <c r="H138" s="56" t="str">
        <f aca="false">IF(I79&gt;0,"Year 1",IF(J79&gt;0,"Year 2",IF(K79&gt;0,"Year 3","After Year 3")))</f>
        <v>After Year 3</v>
      </c>
      <c r="M138" s="56" t="str">
        <f aca="false">IF(N79&gt;0,"Year 1",IF(O79&gt;0,"Year 2",IF(P79&gt;0,"Year 3","After Year 3")))</f>
        <v>After Year 3</v>
      </c>
    </row>
    <row r="139" customFormat="false" ht="15" hidden="false" customHeight="false" outlineLevel="0" collapsed="false">
      <c r="A139" s="56" t="s">
        <v>661</v>
      </c>
      <c r="B139" s="80"/>
      <c r="C139" s="56" t="str">
        <f aca="false">IF(D103&gt;=0,"Year 1",IF(E103&gt;=0,"Year 2",IF(F103&gt;=0,"Year 3","Beyond Year 3")))</f>
        <v>Beyond Year 3</v>
      </c>
      <c r="H139" s="56" t="str">
        <f aca="false">IF(I103&gt;=0,"Year 1",IF(J103&gt;=0,"Year 2",IF(K103&gt;=0,"Year 3","Beyond Year 3")))</f>
        <v>Beyond Year 3</v>
      </c>
      <c r="M139" s="56" t="str">
        <f aca="false">IF(N103&gt;=0,"Year 1",IF(O103&gt;=0,"Year 2",IF(P103&gt;=0,"Year 3","Beyond Year 3")))</f>
        <v>Beyond Year 3</v>
      </c>
    </row>
    <row r="140" customFormat="false" ht="15" hidden="false" customHeight="false" outlineLevel="0" collapsed="false">
      <c r="A140" s="56" t="s">
        <v>662</v>
      </c>
      <c r="B140" s="80" t="s">
        <v>169</v>
      </c>
      <c r="C140" s="57" t="n">
        <f aca="false">MAX(0,-MIN(C103:F103))</f>
        <v>13536639.0825623</v>
      </c>
      <c r="H140" s="57" t="n">
        <f aca="false">MAX(0,-MIN(H103:K103))</f>
        <v>17039658.3057869</v>
      </c>
      <c r="M140" s="57" t="n">
        <f aca="false">MAX(0,-MIN(M103:P103))</f>
        <v>10983779.9949264</v>
      </c>
    </row>
    <row r="141" customFormat="false" ht="15" hidden="false" customHeight="false" outlineLevel="0" collapsed="false">
      <c r="A141" s="56" t="s">
        <v>663</v>
      </c>
      <c r="B141" s="80" t="s">
        <v>169</v>
      </c>
      <c r="C141" s="57" t="n">
        <f aca="false">MAX(0,-MIN(C103:F103,IF(Assumptions!$C$11=1,MIN(D125:F125),0)))</f>
        <v>15806337.1082181</v>
      </c>
      <c r="H141" s="57" t="n">
        <f aca="false">MAX(0,-MIN(H103:K103,IF(Assumptions!$C$11=1,MIN(I125:K125),0)))</f>
        <v>22769858.4573639</v>
      </c>
      <c r="M141" s="57" t="n">
        <f aca="false">MAX(0,-MIN(M103:P103,IF(Assumptions!$C$11=1,MIN(N125:P125),0)))</f>
        <v>11557726.9579667</v>
      </c>
    </row>
    <row r="142" customFormat="false" ht="15" hidden="false" customHeight="false" outlineLevel="0" collapsed="false">
      <c r="A142" s="56" t="s">
        <v>664</v>
      </c>
      <c r="B142" s="80" t="s">
        <v>169</v>
      </c>
      <c r="C142" s="57" t="n">
        <f aca="false">MAX(0,-D103)</f>
        <v>6095197.12842466</v>
      </c>
      <c r="H142" s="57" t="n">
        <f aca="false">MAX(0,-I103)</f>
        <v>6499044.55901541</v>
      </c>
      <c r="M142" s="57" t="n">
        <f aca="false">MAX(0,-N103)</f>
        <v>5933534.2015</v>
      </c>
    </row>
    <row r="143" customFormat="false" ht="15" hidden="false" customHeight="false" outlineLevel="0" collapsed="false">
      <c r="A143" s="56" t="s">
        <v>665</v>
      </c>
      <c r="B143" s="80" t="s">
        <v>169</v>
      </c>
      <c r="C143" s="57" t="n">
        <f aca="false">SUM(C107:F107)</f>
        <v>-11280237.1040493</v>
      </c>
      <c r="H143" s="57" t="n">
        <f aca="false">SUM(H107:K107)</f>
        <v>-13934871.7921456</v>
      </c>
      <c r="M143" s="57" t="n">
        <f aca="false">SUM(M107:P107)</f>
        <v>-9372693.48638589</v>
      </c>
    </row>
    <row r="144" customFormat="false" ht="15" hidden="false" customHeight="false" outlineLevel="0" collapsed="false">
      <c r="A144" s="56" t="s">
        <v>666</v>
      </c>
      <c r="B144" s="80" t="s">
        <v>169</v>
      </c>
      <c r="C144" s="57" t="n">
        <f aca="false">IF(Assumptions!$C$11=1,SUM(D126:F126)+F129,F112)</f>
        <v>8656327.45463581</v>
      </c>
      <c r="H144" s="57" t="n">
        <f aca="false">IF(Assumptions!$C$11=1,SUM(I126:K126)+K129,K112)</f>
        <v>2264994.99244</v>
      </c>
      <c r="M144" s="57" t="n">
        <f aca="false">IF(Assumptions!$C$11=1,SUM(N126:P126)+P129,P112)</f>
        <v>14569761.0266323</v>
      </c>
    </row>
    <row r="145" customFormat="false" ht="15" hidden="false" customHeight="false" outlineLevel="0" collapsed="false">
      <c r="A145" s="56" t="s">
        <v>667</v>
      </c>
      <c r="B145" s="80" t="s">
        <v>169</v>
      </c>
      <c r="C145" s="57" t="n">
        <f aca="false">C143+F112</f>
        <v>-4600233.83368768</v>
      </c>
      <c r="H145" s="57" t="n">
        <f aca="false">H143+K112</f>
        <v>-10105558.3531608</v>
      </c>
      <c r="M145" s="57" t="n">
        <f aca="false">M143+P112</f>
        <v>101327.092873294</v>
      </c>
    </row>
    <row r="146" customFormat="false" ht="15" hidden="false" customHeight="false" outlineLevel="0" collapsed="false">
      <c r="A146" s="56" t="s">
        <v>668</v>
      </c>
      <c r="B146" s="80" t="s">
        <v>169</v>
      </c>
      <c r="C146" s="57" t="n">
        <f aca="false">C143+C144</f>
        <v>-2623909.64941347</v>
      </c>
      <c r="H146" s="57" t="n">
        <f aca="false">H143+H144</f>
        <v>-11669876.7997056</v>
      </c>
      <c r="M146" s="57" t="n">
        <f aca="false">M143+M144</f>
        <v>5197067.54024642</v>
      </c>
    </row>
    <row r="147" customFormat="false" ht="15" hidden="false" customHeight="false" outlineLevel="0" collapsed="false">
      <c r="A147" s="56" t="s">
        <v>669</v>
      </c>
      <c r="B147" s="80" t="s">
        <v>127</v>
      </c>
      <c r="C147" s="82" t="n">
        <f aca="false">IRR_Calc!$K$5</f>
        <v>0.0588577787559834</v>
      </c>
      <c r="H147" s="82" t="n">
        <f aca="false">IRR_Calc!$K$6</f>
        <v>-0.186726155852696</v>
      </c>
      <c r="M147" s="82" t="n">
        <f aca="false">IRR_Calc!$K$7</f>
        <v>0.230326547918837</v>
      </c>
    </row>
    <row r="148" customFormat="false" ht="15" hidden="false" customHeight="false" outlineLevel="0" collapsed="false">
      <c r="A148" s="56" t="s">
        <v>670</v>
      </c>
      <c r="B148" s="80" t="s">
        <v>137</v>
      </c>
      <c r="C148" s="83" t="n">
        <f aca="false">IF(C141=0,0,C146/C141)</f>
        <v>-0.166003649767107</v>
      </c>
      <c r="H148" s="83" t="n">
        <f aca="false">IF(H141=0,0,H146/H141)</f>
        <v>-0.512514244282951</v>
      </c>
      <c r="M148" s="83" t="n">
        <f aca="false">IF(M141=0,0,M146/M141)</f>
        <v>0.449661733587165</v>
      </c>
    </row>
    <row r="149" customFormat="false" ht="15" hidden="false" customHeight="false" outlineLevel="0" collapsed="false">
      <c r="A149" s="56" t="s">
        <v>671</v>
      </c>
      <c r="B149" s="80" t="s">
        <v>137</v>
      </c>
      <c r="C149" s="83" t="n">
        <f aca="false">IF(F50=0,0,IF(Assumptions!$C$11=1,F128,F111)/F50)</f>
        <v>2.8076903717929</v>
      </c>
      <c r="H149" s="83" t="n">
        <f aca="false">IF(K50=0,0,IF(Assumptions!$C$11=1,K128,K111)/K50)</f>
        <v>2.8076903717929</v>
      </c>
      <c r="M149" s="83" t="n">
        <f aca="false">IF(P50=0,0,IF(Assumptions!$C$11=1,P128,P111)/P50)</f>
        <v>2.8076903717929</v>
      </c>
    </row>
    <row r="150" customFormat="false" ht="15" hidden="false" customHeight="false" outlineLevel="0" collapsed="false">
      <c r="A150" s="56" t="s">
        <v>672</v>
      </c>
      <c r="B150" s="80" t="s">
        <v>673</v>
      </c>
      <c r="C150" s="66" t="n">
        <f aca="false">C146*Assumptions!$C$7/10000000</f>
        <v>-6.16618767612165</v>
      </c>
      <c r="H150" s="66" t="n">
        <f aca="false">H146*Assumptions!$C$7/10000000</f>
        <v>-27.4242104793081</v>
      </c>
      <c r="M150" s="66" t="n">
        <f aca="false">M146*Assumptions!$C$7/10000000</f>
        <v>12.2131087195791</v>
      </c>
    </row>
    <row r="151" customFormat="false" ht="15" hidden="false" customHeight="false" outlineLevel="0" collapsed="false">
      <c r="A151" s="56" t="s">
        <v>674</v>
      </c>
      <c r="B151" s="80" t="s">
        <v>169</v>
      </c>
      <c r="C151" s="57" t="n">
        <f aca="false">ROUND(C143-(C102+NPV(Assumptions!$C$8,D102:F102)),2)</f>
        <v>0</v>
      </c>
      <c r="H151" s="57" t="n">
        <f aca="false">ROUND(H143-(H102+NPV(Assumptions!$C$8,I102:K102)),2)</f>
        <v>0</v>
      </c>
      <c r="M151" s="57" t="n">
        <f aca="false">ROUND(M143-(M102+NPV(Assumptions!$C$8,N102:P102)),2)</f>
        <v>0</v>
      </c>
    </row>
  </sheetData>
  <mergeCells count="3">
    <mergeCell ref="C4:F4"/>
    <mergeCell ref="H4:K4"/>
    <mergeCell ref="M4:P4"/>
  </mergeCells>
  <conditionalFormatting sqref="C79:F79">
    <cfRule type="cellIs" priority="2" operator="lessThan" aboveAverage="0" equalAverage="0" bottom="0" percent="0" rank="0" text="" dxfId="2">
      <formula>0</formula>
    </cfRule>
  </conditionalFormatting>
  <conditionalFormatting sqref="H79:K79">
    <cfRule type="cellIs" priority="3" operator="lessThan" aboveAverage="0" equalAverage="0" bottom="0" percent="0" rank="0" text="" dxfId="2">
      <formula>0</formula>
    </cfRule>
  </conditionalFormatting>
  <conditionalFormatting sqref="M79:P79">
    <cfRule type="cellIs" priority="4" operator="lessThan" aboveAverage="0" equalAverage="0" bottom="0" percent="0" rank="0" text="" dxfId="2">
      <formula>0</formula>
    </cfRule>
  </conditionalFormatting>
  <conditionalFormatting sqref="C102:F102">
    <cfRule type="cellIs" priority="5" operator="lessThan" aboveAverage="0" equalAverage="0" bottom="0" percent="0" rank="0" text="" dxfId="2">
      <formula>0</formula>
    </cfRule>
  </conditionalFormatting>
  <conditionalFormatting sqref="H102:K102">
    <cfRule type="cellIs" priority="6" operator="lessThan" aboveAverage="0" equalAverage="0" bottom="0" percent="0" rank="0" text="" dxfId="2">
      <formula>0</formula>
    </cfRule>
  </conditionalFormatting>
  <conditionalFormatting sqref="M102:P102">
    <cfRule type="cellIs" priority="7" operator="lessThan" aboveAverage="0" equalAverage="0" bottom="0" percent="0" rank="0" text="" dxfId="2">
      <formula>0</formula>
    </cfRule>
  </conditionalFormatting>
  <conditionalFormatting sqref="C103:F103">
    <cfRule type="cellIs" priority="8" operator="lessThan" aboveAverage="0" equalAverage="0" bottom="0" percent="0" rank="0" text="" dxfId="2">
      <formula>0</formula>
    </cfRule>
  </conditionalFormatting>
  <conditionalFormatting sqref="H103:K103">
    <cfRule type="cellIs" priority="9" operator="lessThan" aboveAverage="0" equalAverage="0" bottom="0" percent="0" rank="0" text="" dxfId="2">
      <formula>0</formula>
    </cfRule>
  </conditionalFormatting>
  <conditionalFormatting sqref="M103:P103">
    <cfRule type="cellIs" priority="10" operator="lessThan" aboveAverage="0" equalAverage="0" bottom="0" percent="0" rank="0" text="" dxfId="2">
      <formula>0</formula>
    </cfRule>
  </conditionalFormatting>
  <conditionalFormatting sqref="C94:F94">
    <cfRule type="cellIs" priority="11" operator="lessThan" aboveAverage="0" equalAverage="0" bottom="0" percent="0" rank="0" text="" dxfId="2">
      <formula>0</formula>
    </cfRule>
  </conditionalFormatting>
  <conditionalFormatting sqref="H94:K94">
    <cfRule type="cellIs" priority="12" operator="lessThan" aboveAverage="0" equalAverage="0" bottom="0" percent="0" rank="0" text="" dxfId="2">
      <formula>0</formula>
    </cfRule>
  </conditionalFormatting>
  <conditionalFormatting sqref="M94:P94">
    <cfRule type="cellIs" priority="13" operator="lessThan" aboveAverage="0" equalAverage="0" bottom="0" percent="0" rank="0" text="" dxfId="2">
      <formula>0</formula>
    </cfRule>
  </conditionalFormatting>
  <conditionalFormatting sqref="C146:F146">
    <cfRule type="cellIs" priority="14" operator="lessThan" aboveAverage="0" equalAverage="0" bottom="0" percent="0" rank="0" text="" dxfId="2">
      <formula>0</formula>
    </cfRule>
  </conditionalFormatting>
  <conditionalFormatting sqref="H146:K146">
    <cfRule type="cellIs" priority="15" operator="lessThan" aboveAverage="0" equalAverage="0" bottom="0" percent="0" rank="0" text="" dxfId="2">
      <formula>0</formula>
    </cfRule>
  </conditionalFormatting>
  <conditionalFormatting sqref="M146:P146">
    <cfRule type="cellIs" priority="16" operator="lessThan" aboveAverage="0" equalAverage="0" bottom="0" percent="0" rank="0" text="" dxfId="2">
      <formula>0</formula>
    </cfRule>
  </conditionalFormatting>
  <conditionalFormatting sqref="C143:F143">
    <cfRule type="cellIs" priority="17" operator="lessThan" aboveAverage="0" equalAverage="0" bottom="0" percent="0" rank="0" text="" dxfId="2">
      <formula>0</formula>
    </cfRule>
  </conditionalFormatting>
  <conditionalFormatting sqref="H143:K143">
    <cfRule type="cellIs" priority="18" operator="lessThan" aboveAverage="0" equalAverage="0" bottom="0" percent="0" rank="0" text="" dxfId="2">
      <formula>0</formula>
    </cfRule>
  </conditionalFormatting>
  <conditionalFormatting sqref="M143:P143">
    <cfRule type="cellIs" priority="19" operator="lessThan" aboveAverage="0" equalAverage="0" bottom="0" percent="0" rank="0" text="" dxfId="2">
      <formula>0</formula>
    </cfRule>
  </conditionalFormatting>
  <conditionalFormatting sqref="C136:F136">
    <cfRule type="cellIs" priority="20" operator="lessThan" aboveAverage="0" equalAverage="0" bottom="0" percent="0" rank="0" text="" dxfId="2">
      <formula>0</formula>
    </cfRule>
  </conditionalFormatting>
  <conditionalFormatting sqref="H136:K136">
    <cfRule type="cellIs" priority="21" operator="lessThan" aboveAverage="0" equalAverage="0" bottom="0" percent="0" rank="0" text="" dxfId="2">
      <formula>0</formula>
    </cfRule>
  </conditionalFormatting>
  <conditionalFormatting sqref="M136:P136">
    <cfRule type="cellIs" priority="22" operator="less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32"/>
    <pageSetUpPr fitToPage="true"/>
  </sheetPr>
  <dimension ref="A1:P1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8"/>
    <col collapsed="false" customWidth="true" hidden="false" outlineLevel="0" max="6" min="3" style="0" width="14"/>
    <col collapsed="false" customWidth="true" hidden="false" outlineLevel="0" max="7" min="7" style="0" width="3"/>
    <col collapsed="false" customWidth="true" hidden="false" outlineLevel="0" max="11" min="8" style="0" width="14"/>
    <col collapsed="false" customWidth="true" hidden="false" outlineLevel="0" max="12" min="12" style="0" width="3"/>
    <col collapsed="false" customWidth="true" hidden="false" outlineLevel="0" max="16" min="13" style="0" width="14"/>
    <col collapsed="false" customWidth="true" hidden="false" outlineLevel="0" max="17" min="17" style="0" width="3"/>
  </cols>
  <sheetData>
    <row r="1" customFormat="false" ht="17.35" hidden="false" customHeight="false" outlineLevel="0" collapsed="false">
      <c r="A1" s="13" t="s">
        <v>675</v>
      </c>
    </row>
    <row r="2" customFormat="false" ht="15" hidden="false" customHeight="false" outlineLevel="0" collapsed="false">
      <c r="A2" s="14" t="s">
        <v>543</v>
      </c>
    </row>
    <row r="4" customFormat="false" ht="15" hidden="false" customHeight="false" outlineLevel="0" collapsed="false">
      <c r="C4" s="68" t="s">
        <v>544</v>
      </c>
      <c r="D4" s="68"/>
      <c r="E4" s="68"/>
      <c r="F4" s="68"/>
      <c r="H4" s="69" t="s">
        <v>545</v>
      </c>
      <c r="I4" s="69"/>
      <c r="J4" s="69"/>
      <c r="K4" s="69"/>
      <c r="M4" s="70" t="s">
        <v>546</v>
      </c>
      <c r="N4" s="70"/>
      <c r="O4" s="70"/>
      <c r="P4" s="70"/>
    </row>
    <row r="5" customFormat="false" ht="15" hidden="false" customHeight="false" outlineLevel="0" collapsed="false">
      <c r="A5" s="71" t="s">
        <v>547</v>
      </c>
      <c r="B5" s="71" t="s">
        <v>120</v>
      </c>
      <c r="C5" s="72" t="s">
        <v>105</v>
      </c>
      <c r="D5" s="72" t="s">
        <v>101</v>
      </c>
      <c r="E5" s="72" t="s">
        <v>102</v>
      </c>
      <c r="F5" s="72" t="s">
        <v>103</v>
      </c>
      <c r="H5" s="72" t="s">
        <v>105</v>
      </c>
      <c r="I5" s="72" t="s">
        <v>101</v>
      </c>
      <c r="J5" s="72" t="s">
        <v>102</v>
      </c>
      <c r="K5" s="72" t="s">
        <v>103</v>
      </c>
      <c r="M5" s="72" t="s">
        <v>105</v>
      </c>
      <c r="N5" s="72" t="s">
        <v>101</v>
      </c>
      <c r="O5" s="72" t="s">
        <v>102</v>
      </c>
      <c r="P5" s="72" t="s">
        <v>103</v>
      </c>
    </row>
    <row r="8" customFormat="false" ht="15" hidden="false" customHeight="false" outlineLevel="0" collapsed="false">
      <c r="A8" s="4" t="s">
        <v>548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customFormat="false" ht="15" hidden="false" customHeight="false" outlineLevel="0" collapsed="false">
      <c r="A9" s="10" t="s">
        <v>549</v>
      </c>
      <c r="B9" s="36" t="s">
        <v>550</v>
      </c>
      <c r="C9" s="73" t="n">
        <v>2</v>
      </c>
      <c r="H9" s="73" t="n">
        <v>1</v>
      </c>
      <c r="M9" s="73" t="n">
        <v>3</v>
      </c>
    </row>
    <row r="10" customFormat="false" ht="15" hidden="false" customHeight="false" outlineLevel="0" collapsed="false">
      <c r="A10" s="10" t="s">
        <v>551</v>
      </c>
      <c r="B10" s="36"/>
      <c r="C10" s="10" t="str">
        <f aca="false">CHOOSE($C$9,"Downside","Base","Upside")</f>
        <v>Base</v>
      </c>
      <c r="H10" s="10" t="str">
        <f aca="false">CHOOSE($H$9,"Downside","Base","Upside")</f>
        <v>Downside</v>
      </c>
      <c r="M10" s="10" t="str">
        <f aca="false">CHOOSE($M$9,"Downside","Base","Upside")</f>
        <v>Upside</v>
      </c>
    </row>
    <row r="11" customFormat="false" ht="15" hidden="false" customHeight="false" outlineLevel="0" collapsed="false">
      <c r="A11" s="10" t="s">
        <v>190</v>
      </c>
      <c r="B11" s="36" t="s">
        <v>137</v>
      </c>
      <c r="C11" s="74" t="n">
        <f aca="false">INDEX(Assumptions!$C$40:$E$40,$C$9)</f>
        <v>1</v>
      </c>
      <c r="H11" s="74" t="n">
        <f aca="false">INDEX(Assumptions!$C$40:$E$40,$H$9)</f>
        <v>0.65</v>
      </c>
      <c r="M11" s="74" t="n">
        <f aca="false">INDEX(Assumptions!$C$40:$E$40,$M$9)</f>
        <v>1.3</v>
      </c>
    </row>
    <row r="12" customFormat="false" ht="15" hidden="false" customHeight="false" outlineLevel="0" collapsed="false">
      <c r="A12" s="10" t="s">
        <v>552</v>
      </c>
      <c r="B12" s="36" t="s">
        <v>137</v>
      </c>
      <c r="C12" s="74" t="n">
        <f aca="false">INDEX(Assumptions!$C$41:$E$41,$C$9)</f>
        <v>1</v>
      </c>
      <c r="H12" s="74" t="n">
        <f aca="false">INDEX(Assumptions!$C$41:$E$41,$H$9)</f>
        <v>0.9</v>
      </c>
      <c r="M12" s="74" t="n">
        <f aca="false">INDEX(Assumptions!$C$41:$E$41,$M$9)</f>
        <v>1.08</v>
      </c>
    </row>
    <row r="13" customFormat="false" ht="15" hidden="false" customHeight="false" outlineLevel="0" collapsed="false">
      <c r="A13" s="10" t="s">
        <v>553</v>
      </c>
      <c r="B13" s="36" t="s">
        <v>137</v>
      </c>
      <c r="C13" s="46" t="n">
        <f aca="false">INDEX(Assumptions!$C$42:$E$42,$C$9)</f>
        <v>0</v>
      </c>
      <c r="H13" s="46" t="n">
        <f aca="false">INDEX(Assumptions!$C$42:$E$42,$H$9)</f>
        <v>0.03</v>
      </c>
      <c r="M13" s="46" t="n">
        <f aca="false">INDEX(Assumptions!$C$42:$E$42,$M$9)</f>
        <v>-0.015</v>
      </c>
    </row>
    <row r="14" customFormat="false" ht="15" hidden="false" customHeight="false" outlineLevel="0" collapsed="false">
      <c r="A14" s="10" t="s">
        <v>197</v>
      </c>
      <c r="B14" s="36" t="s">
        <v>137</v>
      </c>
      <c r="C14" s="74" t="n">
        <f aca="false">INDEX(Assumptions!$C$43:$E$43,$C$9)</f>
        <v>1</v>
      </c>
      <c r="H14" s="74" t="n">
        <f aca="false">INDEX(Assumptions!$C$43:$E$43,$H$9)</f>
        <v>1.05</v>
      </c>
      <c r="M14" s="74" t="n">
        <f aca="false">INDEX(Assumptions!$C$43:$E$43,$M$9)</f>
        <v>1</v>
      </c>
    </row>
    <row r="16" customFormat="false" ht="15" hidden="false" customHeight="false" outlineLevel="0" collapsed="false">
      <c r="A16" s="4" t="s">
        <v>554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customFormat="false" ht="15" hidden="false" customHeight="false" outlineLevel="0" collapsed="false">
      <c r="A17" s="10" t="s">
        <v>555</v>
      </c>
      <c r="B17" s="36" t="s">
        <v>292</v>
      </c>
      <c r="D17" s="59" t="n">
        <f aca="false">Assumptions!$C$115</f>
        <v>4</v>
      </c>
      <c r="E17" s="59" t="n">
        <f aca="false">Assumptions!$D$115</f>
        <v>9</v>
      </c>
      <c r="F17" s="59" t="n">
        <f aca="false">Assumptions!$E$115</f>
        <v>14</v>
      </c>
      <c r="I17" s="59" t="n">
        <f aca="false">Assumptions!$C$115</f>
        <v>4</v>
      </c>
      <c r="J17" s="59" t="n">
        <f aca="false">Assumptions!$D$115</f>
        <v>9</v>
      </c>
      <c r="K17" s="59" t="n">
        <f aca="false">Assumptions!$E$115</f>
        <v>14</v>
      </c>
      <c r="N17" s="59" t="n">
        <f aca="false">Assumptions!$C$115</f>
        <v>4</v>
      </c>
      <c r="O17" s="59" t="n">
        <f aca="false">Assumptions!$D$115</f>
        <v>9</v>
      </c>
      <c r="P17" s="59" t="n">
        <f aca="false">Assumptions!$E$115</f>
        <v>14</v>
      </c>
    </row>
    <row r="18" customFormat="false" ht="15" hidden="false" customHeight="false" outlineLevel="0" collapsed="false">
      <c r="A18" s="10" t="s">
        <v>556</v>
      </c>
      <c r="B18" s="36" t="s">
        <v>550</v>
      </c>
      <c r="D18" s="49" t="n">
        <f aca="false">D17*Assumptions!$D$63*$C$11</f>
        <v>6.4</v>
      </c>
      <c r="E18" s="49" t="n">
        <f aca="false">E17*Assumptions!$D$63*$C$11</f>
        <v>14.4</v>
      </c>
      <c r="F18" s="49" t="n">
        <f aca="false">F17*Assumptions!$D$63*$C$11</f>
        <v>22.4</v>
      </c>
      <c r="I18" s="49" t="n">
        <f aca="false">I17*Assumptions!$D$63*$H$11</f>
        <v>4.16</v>
      </c>
      <c r="J18" s="49" t="n">
        <f aca="false">J17*Assumptions!$D$63*$H$11</f>
        <v>9.36</v>
      </c>
      <c r="K18" s="49" t="n">
        <f aca="false">K17*Assumptions!$D$63*$H$11</f>
        <v>14.56</v>
      </c>
      <c r="N18" s="49" t="n">
        <f aca="false">N17*Assumptions!$D$63*$M$11</f>
        <v>8.32</v>
      </c>
      <c r="O18" s="49" t="n">
        <f aca="false">O17*Assumptions!$D$63*$M$11</f>
        <v>18.72</v>
      </c>
      <c r="P18" s="49" t="n">
        <f aca="false">P17*Assumptions!$D$63*$M$11</f>
        <v>29.12</v>
      </c>
    </row>
    <row r="19" customFormat="false" ht="15" hidden="false" customHeight="false" outlineLevel="0" collapsed="false">
      <c r="A19" s="10" t="s">
        <v>557</v>
      </c>
      <c r="B19" s="36" t="s">
        <v>550</v>
      </c>
      <c r="D19" s="49" t="n">
        <f aca="false">C21</f>
        <v>0</v>
      </c>
      <c r="E19" s="49" t="n">
        <f aca="false">D21</f>
        <v>6.4</v>
      </c>
      <c r="F19" s="49" t="n">
        <f aca="false">E21</f>
        <v>20.416</v>
      </c>
      <c r="I19" s="49" t="n">
        <f aca="false">H21</f>
        <v>0</v>
      </c>
      <c r="J19" s="49" t="n">
        <f aca="false">I21</f>
        <v>4.16</v>
      </c>
      <c r="K19" s="49" t="n">
        <f aca="false">J21</f>
        <v>13.1456</v>
      </c>
      <c r="N19" s="49" t="n">
        <f aca="false">M21</f>
        <v>0</v>
      </c>
      <c r="O19" s="49" t="n">
        <f aca="false">N21</f>
        <v>8.32</v>
      </c>
      <c r="P19" s="49" t="n">
        <f aca="false">O21</f>
        <v>26.6656</v>
      </c>
    </row>
    <row r="20" customFormat="false" ht="15" hidden="false" customHeight="false" outlineLevel="0" collapsed="false">
      <c r="A20" s="10" t="s">
        <v>558</v>
      </c>
      <c r="B20" s="36" t="s">
        <v>550</v>
      </c>
      <c r="D20" s="49" t="n">
        <f aca="false">D19*MAX(0,Assumptions!$D$66+$C$13)</f>
        <v>0</v>
      </c>
      <c r="E20" s="49" t="n">
        <f aca="false">E19*MAX(0,Assumptions!$D$66+$C$13)</f>
        <v>0.384</v>
      </c>
      <c r="F20" s="49" t="n">
        <f aca="false">F19*MAX(0,Assumptions!$D$66+$C$13)</f>
        <v>1.22496</v>
      </c>
      <c r="I20" s="49" t="n">
        <f aca="false">I19*MAX(0,Assumptions!$D$66+$H$13)</f>
        <v>0</v>
      </c>
      <c r="J20" s="49" t="n">
        <f aca="false">J19*MAX(0,Assumptions!$D$66+$H$13)</f>
        <v>0.3744</v>
      </c>
      <c r="K20" s="49" t="n">
        <f aca="false">K19*MAX(0,Assumptions!$D$66+$H$13)</f>
        <v>1.183104</v>
      </c>
      <c r="N20" s="49" t="n">
        <f aca="false">N19*MAX(0,Assumptions!$D$66+$M$13)</f>
        <v>0</v>
      </c>
      <c r="O20" s="49" t="n">
        <f aca="false">O19*MAX(0,Assumptions!$D$66+$M$13)</f>
        <v>0.3744</v>
      </c>
      <c r="P20" s="49" t="n">
        <f aca="false">P19*MAX(0,Assumptions!$D$66+$M$13)</f>
        <v>1.199952</v>
      </c>
    </row>
    <row r="21" customFormat="false" ht="15" hidden="false" customHeight="false" outlineLevel="0" collapsed="false">
      <c r="A21" s="7" t="s">
        <v>559</v>
      </c>
      <c r="B21" s="36" t="s">
        <v>550</v>
      </c>
      <c r="C21" s="75" t="n">
        <v>0</v>
      </c>
      <c r="D21" s="75" t="n">
        <f aca="false">D19+D18-D20</f>
        <v>6.4</v>
      </c>
      <c r="E21" s="75" t="n">
        <f aca="false">E19+E18-E20</f>
        <v>20.416</v>
      </c>
      <c r="F21" s="75" t="n">
        <f aca="false">F19+F18-F20</f>
        <v>41.59104</v>
      </c>
      <c r="H21" s="75" t="n">
        <v>0</v>
      </c>
      <c r="I21" s="75" t="n">
        <f aca="false">I19+I18-I20</f>
        <v>4.16</v>
      </c>
      <c r="J21" s="75" t="n">
        <f aca="false">J19+J18-J20</f>
        <v>13.1456</v>
      </c>
      <c r="K21" s="75" t="n">
        <f aca="false">K19+K18-K20</f>
        <v>26.522496</v>
      </c>
      <c r="M21" s="75" t="n">
        <v>0</v>
      </c>
      <c r="N21" s="75" t="n">
        <f aca="false">N19+N18-N20</f>
        <v>8.32</v>
      </c>
      <c r="O21" s="75" t="n">
        <f aca="false">O19+O18-O20</f>
        <v>26.6656</v>
      </c>
      <c r="P21" s="75" t="n">
        <f aca="false">P19+P18-P20</f>
        <v>54.585648</v>
      </c>
    </row>
    <row r="22" customFormat="false" ht="15" hidden="false" customHeight="false" outlineLevel="0" collapsed="false">
      <c r="A22" s="10" t="s">
        <v>560</v>
      </c>
      <c r="B22" s="36" t="s">
        <v>550</v>
      </c>
      <c r="D22" s="49" t="n">
        <f aca="false">(D19+D21)/2</f>
        <v>3.2</v>
      </c>
      <c r="E22" s="49" t="n">
        <f aca="false">(E19+E21)/2</f>
        <v>13.408</v>
      </c>
      <c r="F22" s="49" t="n">
        <f aca="false">(F19+F21)/2</f>
        <v>31.00352</v>
      </c>
      <c r="I22" s="49" t="n">
        <f aca="false">(I19+I21)/2</f>
        <v>2.08</v>
      </c>
      <c r="J22" s="49" t="n">
        <f aca="false">(J19+J21)/2</f>
        <v>8.6528</v>
      </c>
      <c r="K22" s="49" t="n">
        <f aca="false">(K19+K21)/2</f>
        <v>19.834048</v>
      </c>
      <c r="N22" s="49" t="n">
        <f aca="false">(N19+N21)/2</f>
        <v>4.16</v>
      </c>
      <c r="O22" s="49" t="n">
        <f aca="false">(O19+O21)/2</f>
        <v>17.4928</v>
      </c>
      <c r="P22" s="49" t="n">
        <f aca="false">(P19+P21)/2</f>
        <v>40.625624</v>
      </c>
    </row>
    <row r="23" customFormat="false" ht="15" hidden="false" customHeight="false" outlineLevel="0" collapsed="false">
      <c r="A23" s="10" t="s">
        <v>561</v>
      </c>
      <c r="B23" s="36" t="s">
        <v>550</v>
      </c>
      <c r="D23" s="49" t="n">
        <f aca="false">D17*Assumptions!$D$64*$C$11</f>
        <v>16</v>
      </c>
      <c r="E23" s="49" t="n">
        <f aca="false">E17*Assumptions!$D$64*$C$11</f>
        <v>36</v>
      </c>
      <c r="F23" s="49" t="n">
        <f aca="false">F17*Assumptions!$D$64*$C$11</f>
        <v>56</v>
      </c>
      <c r="I23" s="49" t="n">
        <f aca="false">I17*Assumptions!$D$64*$H$11</f>
        <v>10.4</v>
      </c>
      <c r="J23" s="49" t="n">
        <f aca="false">J17*Assumptions!$D$64*$H$11</f>
        <v>23.4</v>
      </c>
      <c r="K23" s="49" t="n">
        <f aca="false">K17*Assumptions!$D$64*$H$11</f>
        <v>36.4</v>
      </c>
      <c r="N23" s="49" t="n">
        <f aca="false">N17*Assumptions!$D$64*$M$11</f>
        <v>20.8</v>
      </c>
      <c r="O23" s="49" t="n">
        <f aca="false">O17*Assumptions!$D$64*$M$11</f>
        <v>46.8</v>
      </c>
      <c r="P23" s="49" t="n">
        <f aca="false">P17*Assumptions!$D$64*$M$11</f>
        <v>72.8</v>
      </c>
    </row>
    <row r="24" customFormat="false" ht="15" hidden="false" customHeight="false" outlineLevel="0" collapsed="false">
      <c r="A24" s="10" t="s">
        <v>562</v>
      </c>
      <c r="B24" s="36" t="s">
        <v>550</v>
      </c>
      <c r="D24" s="49" t="n">
        <f aca="false">C26</f>
        <v>0</v>
      </c>
      <c r="E24" s="49" t="n">
        <f aca="false">D26</f>
        <v>16</v>
      </c>
      <c r="F24" s="49" t="n">
        <f aca="false">E26</f>
        <v>50.56</v>
      </c>
      <c r="I24" s="49" t="n">
        <f aca="false">H26</f>
        <v>0</v>
      </c>
      <c r="J24" s="49" t="n">
        <f aca="false">I26</f>
        <v>10.4</v>
      </c>
      <c r="K24" s="49" t="n">
        <f aca="false">J26</f>
        <v>32.552</v>
      </c>
      <c r="N24" s="49" t="n">
        <f aca="false">M26</f>
        <v>0</v>
      </c>
      <c r="O24" s="49" t="n">
        <f aca="false">N26</f>
        <v>20.8</v>
      </c>
      <c r="P24" s="49" t="n">
        <f aca="false">O26</f>
        <v>66.04</v>
      </c>
    </row>
    <row r="25" customFormat="false" ht="15" hidden="false" customHeight="false" outlineLevel="0" collapsed="false">
      <c r="A25" s="10" t="s">
        <v>563</v>
      </c>
      <c r="B25" s="36" t="s">
        <v>550</v>
      </c>
      <c r="D25" s="49" t="n">
        <f aca="false">D24*MAX(0,Assumptions!$D$67+$C$13)</f>
        <v>0</v>
      </c>
      <c r="E25" s="49" t="n">
        <f aca="false">E24*MAX(0,Assumptions!$D$67+$C$13)</f>
        <v>1.44</v>
      </c>
      <c r="F25" s="49" t="n">
        <f aca="false">F24*MAX(0,Assumptions!$D$67+$C$13)</f>
        <v>4.5504</v>
      </c>
      <c r="I25" s="49" t="n">
        <f aca="false">I24*MAX(0,Assumptions!$D$67+$H$13)</f>
        <v>0</v>
      </c>
      <c r="J25" s="49" t="n">
        <f aca="false">J24*MAX(0,Assumptions!$D$67+$H$13)</f>
        <v>1.248</v>
      </c>
      <c r="K25" s="49" t="n">
        <f aca="false">K24*MAX(0,Assumptions!$D$67+$H$13)</f>
        <v>3.90624</v>
      </c>
      <c r="N25" s="49" t="n">
        <f aca="false">N24*MAX(0,Assumptions!$D$67+$M$13)</f>
        <v>0</v>
      </c>
      <c r="O25" s="49" t="n">
        <f aca="false">O24*MAX(0,Assumptions!$D$67+$M$13)</f>
        <v>1.56</v>
      </c>
      <c r="P25" s="49" t="n">
        <f aca="false">P24*MAX(0,Assumptions!$D$67+$M$13)</f>
        <v>4.953</v>
      </c>
    </row>
    <row r="26" customFormat="false" ht="15" hidden="false" customHeight="false" outlineLevel="0" collapsed="false">
      <c r="A26" s="7" t="s">
        <v>564</v>
      </c>
      <c r="B26" s="36" t="s">
        <v>550</v>
      </c>
      <c r="C26" s="75" t="n">
        <v>0</v>
      </c>
      <c r="D26" s="75" t="n">
        <f aca="false">D24+D23-D25</f>
        <v>16</v>
      </c>
      <c r="E26" s="75" t="n">
        <f aca="false">E24+E23-E25</f>
        <v>50.56</v>
      </c>
      <c r="F26" s="75" t="n">
        <f aca="false">F24+F23-F25</f>
        <v>102.0096</v>
      </c>
      <c r="H26" s="75" t="n">
        <v>0</v>
      </c>
      <c r="I26" s="75" t="n">
        <f aca="false">I24+I23-I25</f>
        <v>10.4</v>
      </c>
      <c r="J26" s="75" t="n">
        <f aca="false">J24+J23-J25</f>
        <v>32.552</v>
      </c>
      <c r="K26" s="75" t="n">
        <f aca="false">K24+K23-K25</f>
        <v>65.04576</v>
      </c>
      <c r="M26" s="75" t="n">
        <v>0</v>
      </c>
      <c r="N26" s="75" t="n">
        <f aca="false">N24+N23-N25</f>
        <v>20.8</v>
      </c>
      <c r="O26" s="75" t="n">
        <f aca="false">O24+O23-O25</f>
        <v>66.04</v>
      </c>
      <c r="P26" s="75" t="n">
        <f aca="false">P24+P23-P25</f>
        <v>133.887</v>
      </c>
    </row>
    <row r="27" customFormat="false" ht="15" hidden="false" customHeight="false" outlineLevel="0" collapsed="false">
      <c r="A27" s="10" t="s">
        <v>565</v>
      </c>
      <c r="B27" s="36" t="s">
        <v>550</v>
      </c>
      <c r="D27" s="49" t="n">
        <f aca="false">(D24+D26)/2</f>
        <v>8</v>
      </c>
      <c r="E27" s="49" t="n">
        <f aca="false">(E24+E26)/2</f>
        <v>33.28</v>
      </c>
      <c r="F27" s="49" t="n">
        <f aca="false">(F24+F26)/2</f>
        <v>76.2848</v>
      </c>
      <c r="I27" s="49" t="n">
        <f aca="false">(I24+I26)/2</f>
        <v>5.2</v>
      </c>
      <c r="J27" s="49" t="n">
        <f aca="false">(J24+J26)/2</f>
        <v>21.476</v>
      </c>
      <c r="K27" s="49" t="n">
        <f aca="false">(K24+K26)/2</f>
        <v>48.79888</v>
      </c>
      <c r="N27" s="49" t="n">
        <f aca="false">(N24+N26)/2</f>
        <v>10.4</v>
      </c>
      <c r="O27" s="49" t="n">
        <f aca="false">(O24+O26)/2</f>
        <v>43.42</v>
      </c>
      <c r="P27" s="49" t="n">
        <f aca="false">(P24+P26)/2</f>
        <v>99.9635</v>
      </c>
    </row>
    <row r="28" customFormat="false" ht="15" hidden="false" customHeight="false" outlineLevel="0" collapsed="false">
      <c r="A28" s="10" t="s">
        <v>566</v>
      </c>
      <c r="B28" s="36" t="s">
        <v>550</v>
      </c>
      <c r="D28" s="49" t="n">
        <f aca="false">D17*Assumptions!$D$65*$C$11</f>
        <v>24</v>
      </c>
      <c r="E28" s="49" t="n">
        <f aca="false">E17*Assumptions!$D$65*$C$11</f>
        <v>54</v>
      </c>
      <c r="F28" s="49" t="n">
        <f aca="false">F17*Assumptions!$D$65*$C$11</f>
        <v>84</v>
      </c>
      <c r="I28" s="49" t="n">
        <f aca="false">I17*Assumptions!$D$65*$H$11</f>
        <v>15.6</v>
      </c>
      <c r="J28" s="49" t="n">
        <f aca="false">J17*Assumptions!$D$65*$H$11</f>
        <v>35.1</v>
      </c>
      <c r="K28" s="49" t="n">
        <f aca="false">K17*Assumptions!$D$65*$H$11</f>
        <v>54.6</v>
      </c>
      <c r="N28" s="49" t="n">
        <f aca="false">N17*Assumptions!$D$65*$M$11</f>
        <v>31.2</v>
      </c>
      <c r="O28" s="49" t="n">
        <f aca="false">O17*Assumptions!$D$65*$M$11</f>
        <v>70.2</v>
      </c>
      <c r="P28" s="49" t="n">
        <f aca="false">P17*Assumptions!$D$65*$M$11</f>
        <v>109.2</v>
      </c>
    </row>
    <row r="29" customFormat="false" ht="15" hidden="false" customHeight="false" outlineLevel="0" collapsed="false">
      <c r="A29" s="10" t="s">
        <v>567</v>
      </c>
      <c r="B29" s="36" t="s">
        <v>550</v>
      </c>
      <c r="D29" s="49" t="n">
        <f aca="false">C31</f>
        <v>0</v>
      </c>
      <c r="E29" s="49" t="n">
        <f aca="false">D31</f>
        <v>24</v>
      </c>
      <c r="F29" s="49" t="n">
        <f aca="false">E31</f>
        <v>74.4</v>
      </c>
      <c r="I29" s="49" t="n">
        <f aca="false">H31</f>
        <v>0</v>
      </c>
      <c r="J29" s="49" t="n">
        <f aca="false">I31</f>
        <v>15.6</v>
      </c>
      <c r="K29" s="49" t="n">
        <f aca="false">J31</f>
        <v>47.892</v>
      </c>
      <c r="N29" s="49" t="n">
        <f aca="false">M31</f>
        <v>0</v>
      </c>
      <c r="O29" s="49" t="n">
        <f aca="false">N31</f>
        <v>31.2</v>
      </c>
      <c r="P29" s="49" t="n">
        <f aca="false">O31</f>
        <v>97.188</v>
      </c>
    </row>
    <row r="30" customFormat="false" ht="15" hidden="false" customHeight="false" outlineLevel="0" collapsed="false">
      <c r="A30" s="10" t="s">
        <v>568</v>
      </c>
      <c r="B30" s="36" t="s">
        <v>550</v>
      </c>
      <c r="D30" s="49" t="n">
        <f aca="false">D29*MAX(0,Assumptions!$D$68+$C$13)</f>
        <v>0</v>
      </c>
      <c r="E30" s="49" t="n">
        <f aca="false">E29*MAX(0,Assumptions!$D$68+$C$13)</f>
        <v>3.6</v>
      </c>
      <c r="F30" s="49" t="n">
        <f aca="false">F29*MAX(0,Assumptions!$D$68+$C$13)</f>
        <v>11.16</v>
      </c>
      <c r="I30" s="49" t="n">
        <f aca="false">I29*MAX(0,Assumptions!$D$68+$H$13)</f>
        <v>0</v>
      </c>
      <c r="J30" s="49" t="n">
        <f aca="false">J29*MAX(0,Assumptions!$D$68+$H$13)</f>
        <v>2.808</v>
      </c>
      <c r="K30" s="49" t="n">
        <f aca="false">K29*MAX(0,Assumptions!$D$68+$H$13)</f>
        <v>8.62056</v>
      </c>
      <c r="N30" s="49" t="n">
        <f aca="false">N29*MAX(0,Assumptions!$D$68+$M$13)</f>
        <v>0</v>
      </c>
      <c r="O30" s="49" t="n">
        <f aca="false">O29*MAX(0,Assumptions!$D$68+$M$13)</f>
        <v>4.212</v>
      </c>
      <c r="P30" s="49" t="n">
        <f aca="false">P29*MAX(0,Assumptions!$D$68+$M$13)</f>
        <v>13.12038</v>
      </c>
    </row>
    <row r="31" customFormat="false" ht="15" hidden="false" customHeight="false" outlineLevel="0" collapsed="false">
      <c r="A31" s="7" t="s">
        <v>569</v>
      </c>
      <c r="B31" s="36" t="s">
        <v>550</v>
      </c>
      <c r="C31" s="75" t="n">
        <v>0</v>
      </c>
      <c r="D31" s="75" t="n">
        <f aca="false">D29+D28-D30</f>
        <v>24</v>
      </c>
      <c r="E31" s="75" t="n">
        <f aca="false">E29+E28-E30</f>
        <v>74.4</v>
      </c>
      <c r="F31" s="75" t="n">
        <f aca="false">F29+F28-F30</f>
        <v>147.24</v>
      </c>
      <c r="H31" s="75" t="n">
        <v>0</v>
      </c>
      <c r="I31" s="75" t="n">
        <f aca="false">I29+I28-I30</f>
        <v>15.6</v>
      </c>
      <c r="J31" s="75" t="n">
        <f aca="false">J29+J28-J30</f>
        <v>47.892</v>
      </c>
      <c r="K31" s="75" t="n">
        <f aca="false">K29+K28-K30</f>
        <v>93.87144</v>
      </c>
      <c r="M31" s="75" t="n">
        <v>0</v>
      </c>
      <c r="N31" s="75" t="n">
        <f aca="false">N29+N28-N30</f>
        <v>31.2</v>
      </c>
      <c r="O31" s="75" t="n">
        <f aca="false">O29+O28-O30</f>
        <v>97.188</v>
      </c>
      <c r="P31" s="75" t="n">
        <f aca="false">P29+P28-P30</f>
        <v>193.26762</v>
      </c>
    </row>
    <row r="32" customFormat="false" ht="15" hidden="false" customHeight="false" outlineLevel="0" collapsed="false">
      <c r="A32" s="10" t="s">
        <v>570</v>
      </c>
      <c r="B32" s="36" t="s">
        <v>550</v>
      </c>
      <c r="D32" s="49" t="n">
        <f aca="false">(D29+D31)/2</f>
        <v>12</v>
      </c>
      <c r="E32" s="49" t="n">
        <f aca="false">(E29+E31)/2</f>
        <v>49.2</v>
      </c>
      <c r="F32" s="49" t="n">
        <f aca="false">(F29+F31)/2</f>
        <v>110.82</v>
      </c>
      <c r="I32" s="49" t="n">
        <f aca="false">(I29+I31)/2</f>
        <v>7.8</v>
      </c>
      <c r="J32" s="49" t="n">
        <f aca="false">(J29+J31)/2</f>
        <v>31.746</v>
      </c>
      <c r="K32" s="49" t="n">
        <f aca="false">(K29+K31)/2</f>
        <v>70.88172</v>
      </c>
      <c r="N32" s="49" t="n">
        <f aca="false">(N29+N31)/2</f>
        <v>15.6</v>
      </c>
      <c r="O32" s="49" t="n">
        <f aca="false">(O29+O31)/2</f>
        <v>64.194</v>
      </c>
      <c r="P32" s="49" t="n">
        <f aca="false">(P29+P31)/2</f>
        <v>145.22781</v>
      </c>
    </row>
    <row r="33" customFormat="false" ht="15" hidden="false" customHeight="false" outlineLevel="0" collapsed="false">
      <c r="A33" s="10" t="s">
        <v>571</v>
      </c>
      <c r="B33" s="36" t="s">
        <v>550</v>
      </c>
      <c r="D33" s="49" t="n">
        <f aca="false">D18+D23+D28</f>
        <v>46.4</v>
      </c>
      <c r="E33" s="49" t="n">
        <f aca="false">E18+E23+E28</f>
        <v>104.4</v>
      </c>
      <c r="F33" s="49" t="n">
        <f aca="false">F18+F23+F28</f>
        <v>162.4</v>
      </c>
      <c r="I33" s="49" t="n">
        <f aca="false">I18+I23+I28</f>
        <v>30.16</v>
      </c>
      <c r="J33" s="49" t="n">
        <f aca="false">J18+J23+J28</f>
        <v>67.86</v>
      </c>
      <c r="K33" s="49" t="n">
        <f aca="false">K18+K23+K28</f>
        <v>105.56</v>
      </c>
      <c r="N33" s="49" t="n">
        <f aca="false">N18+N23+N28</f>
        <v>60.32</v>
      </c>
      <c r="O33" s="49" t="n">
        <f aca="false">O18+O23+O28</f>
        <v>135.72</v>
      </c>
      <c r="P33" s="49" t="n">
        <f aca="false">P18+P23+P28</f>
        <v>211.12</v>
      </c>
    </row>
    <row r="34" customFormat="false" ht="15" hidden="false" customHeight="false" outlineLevel="0" collapsed="false">
      <c r="A34" s="76" t="s">
        <v>572</v>
      </c>
      <c r="B34" s="77" t="s">
        <v>550</v>
      </c>
      <c r="C34" s="78" t="n">
        <f aca="false">C21+C26+C31</f>
        <v>0</v>
      </c>
      <c r="D34" s="78" t="n">
        <f aca="false">D21+D26+D31</f>
        <v>46.4</v>
      </c>
      <c r="E34" s="78" t="n">
        <f aca="false">E21+E26+E31</f>
        <v>145.376</v>
      </c>
      <c r="F34" s="78" t="n">
        <f aca="false">F21+F26+F31</f>
        <v>290.84064</v>
      </c>
      <c r="H34" s="78" t="n">
        <f aca="false">H21+H26+H31</f>
        <v>0</v>
      </c>
      <c r="I34" s="78" t="n">
        <f aca="false">I21+I26+I31</f>
        <v>30.16</v>
      </c>
      <c r="J34" s="78" t="n">
        <f aca="false">J21+J26+J31</f>
        <v>93.5896</v>
      </c>
      <c r="K34" s="78" t="n">
        <f aca="false">K21+K26+K31</f>
        <v>185.439696</v>
      </c>
      <c r="M34" s="78" t="n">
        <f aca="false">M21+M26+M31</f>
        <v>0</v>
      </c>
      <c r="N34" s="78" t="n">
        <f aca="false">N21+N26+N31</f>
        <v>60.32</v>
      </c>
      <c r="O34" s="78" t="n">
        <f aca="false">O21+O26+O31</f>
        <v>189.8936</v>
      </c>
      <c r="P34" s="78" t="n">
        <f aca="false">P21+P26+P31</f>
        <v>381.740268</v>
      </c>
    </row>
    <row r="36" customFormat="false" ht="15" hidden="false" customHeight="false" outlineLevel="0" collapsed="false">
      <c r="A36" s="4" t="s">
        <v>573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customFormat="false" ht="15" hidden="false" customHeight="false" outlineLevel="0" collapsed="false">
      <c r="A37" s="10" t="s">
        <v>574</v>
      </c>
      <c r="B37" s="36" t="s">
        <v>137</v>
      </c>
      <c r="D37" s="54" t="n">
        <f aca="false">(1+Assumptions!$C$22)^0*(1+Assumptions!$C$23)^0*$C$12</f>
        <v>1</v>
      </c>
      <c r="E37" s="54" t="n">
        <f aca="false">(1+Assumptions!$C$22)^1*(1+Assumptions!$C$23)^1*$C$12</f>
        <v>1.0609</v>
      </c>
      <c r="F37" s="54" t="n">
        <f aca="false">(1+Assumptions!$C$22)^2*(1+Assumptions!$C$23)^2*$C$12</f>
        <v>1.12550881</v>
      </c>
      <c r="I37" s="54" t="n">
        <f aca="false">(1+Assumptions!$C$22)^0*(1+Assumptions!$C$23)^0*$H$12</f>
        <v>0.9</v>
      </c>
      <c r="J37" s="54" t="n">
        <f aca="false">(1+Assumptions!$C$22)^1*(1+Assumptions!$C$23)^1*$H$12</f>
        <v>0.95481</v>
      </c>
      <c r="K37" s="54" t="n">
        <f aca="false">(1+Assumptions!$C$22)^2*(1+Assumptions!$C$23)^2*$H$12</f>
        <v>1.012957929</v>
      </c>
      <c r="N37" s="54" t="n">
        <f aca="false">(1+Assumptions!$C$22)^0*(1+Assumptions!$C$23)^0*$M$12</f>
        <v>1.08</v>
      </c>
      <c r="O37" s="54" t="n">
        <f aca="false">(1+Assumptions!$C$22)^1*(1+Assumptions!$C$23)^1*$M$12</f>
        <v>1.145772</v>
      </c>
      <c r="P37" s="54" t="n">
        <f aca="false">(1+Assumptions!$C$22)^2*(1+Assumptions!$C$23)^2*$M$12</f>
        <v>1.2155495148</v>
      </c>
    </row>
    <row r="38" customFormat="false" ht="15" hidden="false" customHeight="false" outlineLevel="0" collapsed="false">
      <c r="A38" s="10" t="s">
        <v>575</v>
      </c>
      <c r="B38" s="36" t="s">
        <v>169</v>
      </c>
      <c r="D38" s="53" t="n">
        <f aca="false">Assumptions!$C$51*D37</f>
        <v>65000</v>
      </c>
      <c r="E38" s="53" t="n">
        <f aca="false">Assumptions!$C$51*E37</f>
        <v>68958.5</v>
      </c>
      <c r="F38" s="53" t="n">
        <f aca="false">Assumptions!$C$51*F37</f>
        <v>73158.07265</v>
      </c>
      <c r="I38" s="53" t="n">
        <f aca="false">Assumptions!$C$51*I37</f>
        <v>58500</v>
      </c>
      <c r="J38" s="53" t="n">
        <f aca="false">Assumptions!$C$51*J37</f>
        <v>62062.65</v>
      </c>
      <c r="K38" s="53" t="n">
        <f aca="false">Assumptions!$C$51*K37</f>
        <v>65842.265385</v>
      </c>
      <c r="N38" s="53" t="n">
        <f aca="false">Assumptions!$C$51*N37</f>
        <v>70200</v>
      </c>
      <c r="O38" s="53" t="n">
        <f aca="false">Assumptions!$C$51*O37</f>
        <v>74475.18</v>
      </c>
      <c r="P38" s="53" t="n">
        <f aca="false">Assumptions!$C$51*P37</f>
        <v>79010.718462</v>
      </c>
    </row>
    <row r="39" customFormat="false" ht="15" hidden="false" customHeight="false" outlineLevel="0" collapsed="false">
      <c r="A39" s="10" t="s">
        <v>576</v>
      </c>
      <c r="B39" s="36" t="s">
        <v>169</v>
      </c>
      <c r="D39" s="53" t="n">
        <f aca="false">Assumptions!$D$51*D37</f>
        <v>22000</v>
      </c>
      <c r="E39" s="53" t="n">
        <f aca="false">Assumptions!$D$51*E37</f>
        <v>23339.8</v>
      </c>
      <c r="F39" s="53" t="n">
        <f aca="false">Assumptions!$D$51*F37</f>
        <v>24761.19382</v>
      </c>
      <c r="I39" s="53" t="n">
        <f aca="false">Assumptions!$D$51*I37</f>
        <v>19800</v>
      </c>
      <c r="J39" s="53" t="n">
        <f aca="false">Assumptions!$D$51*J37</f>
        <v>21005.82</v>
      </c>
      <c r="K39" s="53" t="n">
        <f aca="false">Assumptions!$D$51*K37</f>
        <v>22285.074438</v>
      </c>
      <c r="N39" s="53" t="n">
        <f aca="false">Assumptions!$D$51*N37</f>
        <v>23760</v>
      </c>
      <c r="O39" s="53" t="n">
        <f aca="false">Assumptions!$D$51*O37</f>
        <v>25206.984</v>
      </c>
      <c r="P39" s="53" t="n">
        <f aca="false">Assumptions!$D$51*P37</f>
        <v>26742.0893256</v>
      </c>
    </row>
    <row r="40" customFormat="false" ht="15" hidden="false" customHeight="false" outlineLevel="0" collapsed="false">
      <c r="A40" s="10" t="s">
        <v>577</v>
      </c>
      <c r="B40" s="36" t="s">
        <v>169</v>
      </c>
      <c r="D40" s="53" t="n">
        <f aca="false">Assumptions!$E$51*D37</f>
        <v>4800</v>
      </c>
      <c r="E40" s="53" t="n">
        <f aca="false">Assumptions!$E$51*E37</f>
        <v>5092.32</v>
      </c>
      <c r="F40" s="53" t="n">
        <f aca="false">Assumptions!$E$51*F37</f>
        <v>5402.442288</v>
      </c>
      <c r="I40" s="53" t="n">
        <f aca="false">Assumptions!$E$51*I37</f>
        <v>4320</v>
      </c>
      <c r="J40" s="53" t="n">
        <f aca="false">Assumptions!$E$51*J37</f>
        <v>4583.088</v>
      </c>
      <c r="K40" s="53" t="n">
        <f aca="false">Assumptions!$E$51*K37</f>
        <v>4862.1980592</v>
      </c>
      <c r="N40" s="53" t="n">
        <f aca="false">Assumptions!$E$51*N37</f>
        <v>5184</v>
      </c>
      <c r="O40" s="53" t="n">
        <f aca="false">Assumptions!$E$51*O37</f>
        <v>5499.7056</v>
      </c>
      <c r="P40" s="53" t="n">
        <f aca="false">Assumptions!$E$51*P37</f>
        <v>5834.63767104</v>
      </c>
    </row>
    <row r="41" customFormat="false" ht="15" hidden="false" customHeight="false" outlineLevel="0" collapsed="false">
      <c r="A41" s="10" t="s">
        <v>578</v>
      </c>
      <c r="B41" s="36" t="s">
        <v>169</v>
      </c>
      <c r="D41" s="53" t="n">
        <f aca="false">D22*D38</f>
        <v>208000</v>
      </c>
      <c r="E41" s="53" t="n">
        <f aca="false">E22*E38</f>
        <v>924595.568</v>
      </c>
      <c r="F41" s="53" t="n">
        <f aca="false">F22*F38</f>
        <v>2268157.76856573</v>
      </c>
      <c r="I41" s="53" t="n">
        <f aca="false">I22*I38</f>
        <v>121680</v>
      </c>
      <c r="J41" s="53" t="n">
        <f aca="false">J22*J38</f>
        <v>537015.69792</v>
      </c>
      <c r="K41" s="53" t="n">
        <f aca="false">K22*K38</f>
        <v>1305918.65207483</v>
      </c>
      <c r="N41" s="53" t="n">
        <f aca="false">N22*N38</f>
        <v>292032</v>
      </c>
      <c r="O41" s="53" t="n">
        <f aca="false">O22*O38</f>
        <v>1302779.428704</v>
      </c>
      <c r="P41" s="53" t="n">
        <f aca="false">P22*P38</f>
        <v>3209859.74020707</v>
      </c>
    </row>
    <row r="42" customFormat="false" ht="15" hidden="false" customHeight="false" outlineLevel="0" collapsed="false">
      <c r="A42" s="10" t="s">
        <v>579</v>
      </c>
      <c r="B42" s="36" t="s">
        <v>169</v>
      </c>
      <c r="D42" s="53" t="n">
        <f aca="false">D27*D39</f>
        <v>176000</v>
      </c>
      <c r="E42" s="53" t="n">
        <f aca="false">E27*E39</f>
        <v>776748.544</v>
      </c>
      <c r="F42" s="53" t="n">
        <f aca="false">F27*F39</f>
        <v>1888902.71831994</v>
      </c>
      <c r="I42" s="53" t="n">
        <f aca="false">I27*I39</f>
        <v>102960</v>
      </c>
      <c r="J42" s="53" t="n">
        <f aca="false">J27*J39</f>
        <v>451120.99032</v>
      </c>
      <c r="K42" s="53" t="n">
        <f aca="false">K27*K39</f>
        <v>1087486.67329103</v>
      </c>
      <c r="N42" s="53" t="n">
        <f aca="false">N27*N39</f>
        <v>247104</v>
      </c>
      <c r="O42" s="53" t="n">
        <f aca="false">O27*O39</f>
        <v>1094487.24528</v>
      </c>
      <c r="P42" s="53" t="n">
        <f aca="false">P27*P39</f>
        <v>2673232.84629962</v>
      </c>
    </row>
    <row r="43" customFormat="false" ht="15" hidden="false" customHeight="false" outlineLevel="0" collapsed="false">
      <c r="A43" s="10" t="s">
        <v>580</v>
      </c>
      <c r="B43" s="36" t="s">
        <v>169</v>
      </c>
      <c r="D43" s="53" t="n">
        <f aca="false">D32*D40</f>
        <v>57600</v>
      </c>
      <c r="E43" s="53" t="n">
        <f aca="false">E32*E40</f>
        <v>250542.144</v>
      </c>
      <c r="F43" s="53" t="n">
        <f aca="false">F32*F40</f>
        <v>598698.65435616</v>
      </c>
      <c r="I43" s="53" t="n">
        <f aca="false">I32*I40</f>
        <v>33696</v>
      </c>
      <c r="J43" s="53" t="n">
        <f aca="false">J32*J40</f>
        <v>145494.711648</v>
      </c>
      <c r="K43" s="53" t="n">
        <f aca="false">K32*K40</f>
        <v>344640.961416758</v>
      </c>
      <c r="N43" s="53" t="n">
        <f aca="false">N32*N40</f>
        <v>80870.4</v>
      </c>
      <c r="O43" s="53" t="n">
        <f aca="false">O32*O40</f>
        <v>353048.1012864</v>
      </c>
      <c r="P43" s="53" t="n">
        <f aca="false">P32*P40</f>
        <v>847351.65110864</v>
      </c>
    </row>
    <row r="44" customFormat="false" ht="15" hidden="false" customHeight="false" outlineLevel="0" collapsed="false">
      <c r="A44" s="7" t="s">
        <v>581</v>
      </c>
      <c r="B44" s="36" t="s">
        <v>169</v>
      </c>
      <c r="D44" s="52" t="n">
        <f aca="false">D41+D42+D43</f>
        <v>441600</v>
      </c>
      <c r="E44" s="52" t="n">
        <f aca="false">E41+E42+E43</f>
        <v>1951886.256</v>
      </c>
      <c r="F44" s="52" t="n">
        <f aca="false">F41+F42+F43</f>
        <v>4755759.14124182</v>
      </c>
      <c r="I44" s="52" t="n">
        <f aca="false">I41+I42+I43</f>
        <v>258336</v>
      </c>
      <c r="J44" s="52" t="n">
        <f aca="false">J41+J42+J43</f>
        <v>1133631.399888</v>
      </c>
      <c r="K44" s="52" t="n">
        <f aca="false">K41+K42+K43</f>
        <v>2738046.28678262</v>
      </c>
      <c r="N44" s="52" t="n">
        <f aca="false">N41+N42+N43</f>
        <v>620006.4</v>
      </c>
      <c r="O44" s="52" t="n">
        <f aca="false">O41+O42+O43</f>
        <v>2750314.7752704</v>
      </c>
      <c r="P44" s="52" t="n">
        <f aca="false">P41+P42+P43</f>
        <v>6730444.23761533</v>
      </c>
    </row>
    <row r="45" customFormat="false" ht="15" hidden="false" customHeight="false" outlineLevel="0" collapsed="false">
      <c r="A45" s="10" t="s">
        <v>582</v>
      </c>
      <c r="B45" s="36" t="s">
        <v>169</v>
      </c>
      <c r="D45" s="53" t="n">
        <f aca="false">-D44*Assumptions!$D$57</f>
        <v>-97152</v>
      </c>
      <c r="E45" s="53" t="n">
        <f aca="false">-E44*Assumptions!$D$57</f>
        <v>-429414.97632</v>
      </c>
      <c r="F45" s="53" t="n">
        <f aca="false">-F44*Assumptions!$D$57</f>
        <v>-1046267.0110732</v>
      </c>
      <c r="I45" s="53" t="n">
        <f aca="false">-I44*Assumptions!$D$57</f>
        <v>-56833.92</v>
      </c>
      <c r="J45" s="53" t="n">
        <f aca="false">-J44*Assumptions!$D$57</f>
        <v>-249398.90797536</v>
      </c>
      <c r="K45" s="53" t="n">
        <f aca="false">-K44*Assumptions!$D$57</f>
        <v>-602370.183092176</v>
      </c>
      <c r="N45" s="53" t="n">
        <f aca="false">-N44*Assumptions!$D$57</f>
        <v>-136401.408</v>
      </c>
      <c r="O45" s="53" t="n">
        <f aca="false">-O44*Assumptions!$D$57</f>
        <v>-605069.250559488</v>
      </c>
      <c r="P45" s="53" t="n">
        <f aca="false">-P44*Assumptions!$D$57</f>
        <v>-1480697.73227537</v>
      </c>
    </row>
    <row r="46" customFormat="false" ht="15" hidden="false" customHeight="false" outlineLevel="0" collapsed="false">
      <c r="A46" s="7" t="s">
        <v>583</v>
      </c>
      <c r="B46" s="36" t="s">
        <v>169</v>
      </c>
      <c r="D46" s="52" t="n">
        <f aca="false">D44+D45</f>
        <v>344448</v>
      </c>
      <c r="E46" s="52" t="n">
        <f aca="false">E44+E45</f>
        <v>1522471.27968</v>
      </c>
      <c r="F46" s="52" t="n">
        <f aca="false">F44+F45</f>
        <v>3709492.13016862</v>
      </c>
      <c r="I46" s="52" t="n">
        <f aca="false">I44+I45</f>
        <v>201502.08</v>
      </c>
      <c r="J46" s="52" t="n">
        <f aca="false">J44+J45</f>
        <v>884232.49191264</v>
      </c>
      <c r="K46" s="52" t="n">
        <f aca="false">K44+K45</f>
        <v>2135676.10369044</v>
      </c>
      <c r="N46" s="52" t="n">
        <f aca="false">N44+N45</f>
        <v>483604.992</v>
      </c>
      <c r="O46" s="52" t="n">
        <f aca="false">O44+O45</f>
        <v>2145245.52471091</v>
      </c>
      <c r="P46" s="52" t="n">
        <f aca="false">P44+P45</f>
        <v>5249746.50533995</v>
      </c>
    </row>
    <row r="47" customFormat="false" ht="15" hidden="false" customHeight="false" outlineLevel="0" collapsed="false">
      <c r="A47" s="10" t="s">
        <v>584</v>
      </c>
      <c r="B47" s="36" t="s">
        <v>169</v>
      </c>
      <c r="D47" s="53" t="n">
        <f aca="false">(D18*Assumptions!$C$52+D23*Assumptions!$D$52+D28*Assumptions!$E$52)*Assumptions!$D$58</f>
        <v>145200</v>
      </c>
      <c r="E47" s="53" t="n">
        <f aca="false">(E18*Assumptions!$C$52+E23*Assumptions!$D$52+E28*Assumptions!$E$52)*Assumptions!$D$58</f>
        <v>326700</v>
      </c>
      <c r="F47" s="53" t="n">
        <f aca="false">(F18*Assumptions!$C$52+F23*Assumptions!$D$52+F28*Assumptions!$E$52)*Assumptions!$D$58</f>
        <v>508200</v>
      </c>
      <c r="I47" s="53" t="n">
        <f aca="false">(I18*Assumptions!$C$52+I23*Assumptions!$D$52+I28*Assumptions!$E$52)*Assumptions!$D$58</f>
        <v>94380</v>
      </c>
      <c r="J47" s="53" t="n">
        <f aca="false">(J18*Assumptions!$C$52+J23*Assumptions!$D$52+J28*Assumptions!$E$52)*Assumptions!$D$58</f>
        <v>212355</v>
      </c>
      <c r="K47" s="53" t="n">
        <f aca="false">(K18*Assumptions!$C$52+K23*Assumptions!$D$52+K28*Assumptions!$E$52)*Assumptions!$D$58</f>
        <v>330330</v>
      </c>
      <c r="N47" s="53" t="n">
        <f aca="false">(N18*Assumptions!$C$52+N23*Assumptions!$D$52+N28*Assumptions!$E$52)*Assumptions!$D$58</f>
        <v>188760</v>
      </c>
      <c r="O47" s="53" t="n">
        <f aca="false">(O18*Assumptions!$C$52+O23*Assumptions!$D$52+O28*Assumptions!$E$52)*Assumptions!$D$58</f>
        <v>424710</v>
      </c>
      <c r="P47" s="53" t="n">
        <f aca="false">(P18*Assumptions!$C$52+P23*Assumptions!$D$52+P28*Assumptions!$E$52)*Assumptions!$D$58</f>
        <v>660660</v>
      </c>
    </row>
    <row r="48" customFormat="false" ht="15" hidden="false" customHeight="false" outlineLevel="0" collapsed="false">
      <c r="A48" s="10" t="s">
        <v>585</v>
      </c>
      <c r="B48" s="36" t="s">
        <v>169</v>
      </c>
      <c r="D48" s="53" t="n">
        <f aca="false">D17*Assumptions!$D$61</f>
        <v>60000</v>
      </c>
      <c r="E48" s="53" t="n">
        <f aca="false">E17*Assumptions!$D$61</f>
        <v>135000</v>
      </c>
      <c r="F48" s="53" t="n">
        <f aca="false">F17*Assumptions!$D$61</f>
        <v>210000</v>
      </c>
      <c r="I48" s="53" t="n">
        <f aca="false">I17*Assumptions!$D$61</f>
        <v>60000</v>
      </c>
      <c r="J48" s="53" t="n">
        <f aca="false">J17*Assumptions!$D$61</f>
        <v>135000</v>
      </c>
      <c r="K48" s="53" t="n">
        <f aca="false">K17*Assumptions!$D$61</f>
        <v>210000</v>
      </c>
      <c r="N48" s="53" t="n">
        <f aca="false">N17*Assumptions!$D$61</f>
        <v>60000</v>
      </c>
      <c r="O48" s="53" t="n">
        <f aca="false">O17*Assumptions!$D$61</f>
        <v>135000</v>
      </c>
      <c r="P48" s="53" t="n">
        <f aca="false">P17*Assumptions!$D$61</f>
        <v>210000</v>
      </c>
    </row>
    <row r="49" customFormat="false" ht="15" hidden="false" customHeight="false" outlineLevel="0" collapsed="false">
      <c r="A49" s="76" t="s">
        <v>586</v>
      </c>
      <c r="B49" s="77" t="s">
        <v>169</v>
      </c>
      <c r="C49" s="79" t="n">
        <v>0</v>
      </c>
      <c r="D49" s="79" t="n">
        <f aca="false">D46+D47+D48</f>
        <v>549648</v>
      </c>
      <c r="E49" s="79" t="n">
        <f aca="false">E46+E47+E48</f>
        <v>1984171.27968</v>
      </c>
      <c r="F49" s="79" t="n">
        <f aca="false">F46+F47+F48</f>
        <v>4427692.13016862</v>
      </c>
      <c r="H49" s="79" t="n">
        <v>0</v>
      </c>
      <c r="I49" s="79" t="n">
        <f aca="false">I46+I47+I48</f>
        <v>355882.08</v>
      </c>
      <c r="J49" s="79" t="n">
        <f aca="false">J46+J47+J48</f>
        <v>1231587.49191264</v>
      </c>
      <c r="K49" s="79" t="n">
        <f aca="false">K46+K47+K48</f>
        <v>2676006.10369044</v>
      </c>
      <c r="M49" s="79" t="n">
        <v>0</v>
      </c>
      <c r="N49" s="79" t="n">
        <f aca="false">N46+N47+N48</f>
        <v>732364.992</v>
      </c>
      <c r="O49" s="79" t="n">
        <f aca="false">O46+O47+O48</f>
        <v>2704955.52471091</v>
      </c>
      <c r="P49" s="79" t="n">
        <f aca="false">P46+P47+P48</f>
        <v>6120406.50533995</v>
      </c>
    </row>
    <row r="50" customFormat="false" ht="15" hidden="false" customHeight="false" outlineLevel="0" collapsed="false">
      <c r="A50" s="7" t="s">
        <v>587</v>
      </c>
      <c r="B50" s="36" t="s">
        <v>169</v>
      </c>
      <c r="C50" s="52" t="n">
        <v>0</v>
      </c>
      <c r="D50" s="52" t="n">
        <f aca="false">(D21*D38+D26*D39+D31*D40)*(1-Assumptions!$D$57)</f>
        <v>688896</v>
      </c>
      <c r="E50" s="52" t="n">
        <f aca="false">(E21*E38+E26*E39+E31*E40)*(1-Assumptions!$D$57)</f>
        <v>2314092.79296</v>
      </c>
      <c r="F50" s="52" t="n">
        <f aca="false">(F21*F38+F26*F39+F31*F40)*(1-Assumptions!$D$57)</f>
        <v>4963963.21628598</v>
      </c>
      <c r="H50" s="52" t="n">
        <v>0</v>
      </c>
      <c r="I50" s="52" t="n">
        <f aca="false">(I21*I38+I26*I39+I31*I40)*(1-Assumptions!$D$57)</f>
        <v>403004.16</v>
      </c>
      <c r="J50" s="52" t="n">
        <f aca="false">(J21*J38+J26*J39+J31*J40)*(1-Assumptions!$D$57)</f>
        <v>1340917.87048128</v>
      </c>
      <c r="K50" s="52" t="n">
        <f aca="false">(K21*K38+K26*K39+K31*K40)*(1-Assumptions!$D$57)</f>
        <v>2848772.43858729</v>
      </c>
      <c r="M50" s="52" t="n">
        <v>0</v>
      </c>
      <c r="N50" s="52" t="n">
        <f aca="false">(N21*N38+N26*N39+N31*N40)*(1-Assumptions!$D$57)</f>
        <v>967209.984</v>
      </c>
      <c r="O50" s="52" t="n">
        <f aca="false">(O21*O38+O26*O39+O31*O40)*(1-Assumptions!$D$57)</f>
        <v>3264377.97739622</v>
      </c>
      <c r="P50" s="52" t="n">
        <f aca="false">(P21*P38+P26*P39+P31*P40)*(1-Assumptions!$D$57)</f>
        <v>7036314.41446025</v>
      </c>
    </row>
    <row r="52" customFormat="false" ht="15" hidden="false" customHeight="false" outlineLevel="0" collapsed="false">
      <c r="A52" s="4" t="s">
        <v>588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customFormat="false" ht="15" hidden="false" customHeight="false" outlineLevel="0" collapsed="false">
      <c r="A53" s="10" t="s">
        <v>589</v>
      </c>
      <c r="B53" s="36" t="s">
        <v>169</v>
      </c>
      <c r="D53" s="53" t="n">
        <f aca="false">D46*Assumptions!$C$31</f>
        <v>41333.76</v>
      </c>
      <c r="E53" s="53" t="n">
        <f aca="false">E46*Assumptions!$C$31</f>
        <v>182696.5535616</v>
      </c>
      <c r="F53" s="53" t="n">
        <f aca="false">F46*Assumptions!$C$31</f>
        <v>445139.055620235</v>
      </c>
      <c r="I53" s="53" t="n">
        <f aca="false">I46*Assumptions!$C$31</f>
        <v>24180.2496</v>
      </c>
      <c r="J53" s="53" t="n">
        <f aca="false">J46*Assumptions!$C$31</f>
        <v>106107.899029517</v>
      </c>
      <c r="K53" s="53" t="n">
        <f aca="false">K46*Assumptions!$C$31</f>
        <v>256281.132442853</v>
      </c>
      <c r="N53" s="53" t="n">
        <f aca="false">N46*Assumptions!$C$31</f>
        <v>58032.59904</v>
      </c>
      <c r="O53" s="53" t="n">
        <f aca="false">O46*Assumptions!$C$31</f>
        <v>257429.462965309</v>
      </c>
      <c r="P53" s="53" t="n">
        <f aca="false">P46*Assumptions!$C$31</f>
        <v>629969.580640794</v>
      </c>
    </row>
    <row r="54" customFormat="false" ht="15" hidden="false" customHeight="false" outlineLevel="0" collapsed="false">
      <c r="A54" s="10" t="s">
        <v>590</v>
      </c>
      <c r="B54" s="36" t="s">
        <v>169</v>
      </c>
      <c r="D54" s="53" t="n">
        <f aca="false">D47*(1-Assumptions!$D$59)</f>
        <v>101640</v>
      </c>
      <c r="E54" s="53" t="n">
        <f aca="false">E47*(1-Assumptions!$D$59)</f>
        <v>228690</v>
      </c>
      <c r="F54" s="53" t="n">
        <f aca="false">F47*(1-Assumptions!$D$59)</f>
        <v>355740</v>
      </c>
      <c r="I54" s="53" t="n">
        <f aca="false">I47*(1-Assumptions!$D$59)</f>
        <v>66066</v>
      </c>
      <c r="J54" s="53" t="n">
        <f aca="false">J47*(1-Assumptions!$D$59)</f>
        <v>148648.5</v>
      </c>
      <c r="K54" s="53" t="n">
        <f aca="false">K47*(1-Assumptions!$D$59)</f>
        <v>231231</v>
      </c>
      <c r="N54" s="53" t="n">
        <f aca="false">N47*(1-Assumptions!$D$59)</f>
        <v>132132</v>
      </c>
      <c r="O54" s="53" t="n">
        <f aca="false">O47*(1-Assumptions!$D$59)</f>
        <v>297297</v>
      </c>
      <c r="P54" s="53" t="n">
        <f aca="false">P47*(1-Assumptions!$D$59)</f>
        <v>462462</v>
      </c>
    </row>
    <row r="55" customFormat="false" ht="15" hidden="false" customHeight="false" outlineLevel="0" collapsed="false">
      <c r="A55" s="10" t="s">
        <v>591</v>
      </c>
      <c r="B55" s="36" t="s">
        <v>169</v>
      </c>
      <c r="D55" s="53" t="n">
        <f aca="false">(D22*Assumptions!$C$53+D27*Assumptions!$D$53+D32*Assumptions!$E$53)*Assumptions!$D$62*(1+Assumptions!$C$21)^0</f>
        <v>29960</v>
      </c>
      <c r="E55" s="53" t="n">
        <f aca="false">(E22*Assumptions!$C$53+E27*Assumptions!$D$53+E32*Assumptions!$E$53)*Assumptions!$D$62*(1+Assumptions!$C$21)^1</f>
        <v>129776.192</v>
      </c>
      <c r="F55" s="53" t="n">
        <f aca="false">(F22*Assumptions!$C$53+F27*Assumptions!$D$53+F32*Assumptions!$E$53)*Assumptions!$D$62*(1+Assumptions!$C$21)^2</f>
        <v>309857.1746816</v>
      </c>
      <c r="I55" s="53" t="n">
        <f aca="false">(I22*Assumptions!$C$53+I27*Assumptions!$D$53+I32*Assumptions!$E$53)*Assumptions!$D$62*(1+Assumptions!$C$21)^0</f>
        <v>19474</v>
      </c>
      <c r="J55" s="53" t="n">
        <f aca="false">(J22*Assumptions!$C$53+J27*Assumptions!$D$53+J32*Assumptions!$E$53)*Assumptions!$D$62*(1+Assumptions!$C$21)^1</f>
        <v>83746.936</v>
      </c>
      <c r="K55" s="53" t="n">
        <f aca="false">(K22*Assumptions!$C$53+K27*Assumptions!$D$53+K32*Assumptions!$E$53)*Assumptions!$D$62*(1+Assumptions!$C$21)^2</f>
        <v>198216.04811008</v>
      </c>
      <c r="N55" s="53" t="n">
        <f aca="false">(N22*Assumptions!$C$53+N27*Assumptions!$D$53+N32*Assumptions!$E$53)*Assumptions!$D$62*(1+Assumptions!$C$21)^0</f>
        <v>38948</v>
      </c>
      <c r="O55" s="53" t="n">
        <f aca="false">(O22*Assumptions!$C$53+O27*Assumptions!$D$53+O32*Assumptions!$E$53)*Assumptions!$D$62*(1+Assumptions!$C$21)^1</f>
        <v>169316.6384</v>
      </c>
      <c r="P55" s="53" t="n">
        <f aca="false">(P22*Assumptions!$C$53+P27*Assumptions!$D$53+P32*Assumptions!$E$53)*Assumptions!$D$62*(1+Assumptions!$C$21)^2</f>
        <v>406033.87767488</v>
      </c>
    </row>
    <row r="56" customFormat="false" ht="15" hidden="false" customHeight="false" outlineLevel="0" collapsed="false">
      <c r="A56" s="7" t="s">
        <v>592</v>
      </c>
      <c r="B56" s="36" t="s">
        <v>169</v>
      </c>
      <c r="C56" s="52" t="n">
        <f aca="false">C53+C54+C55</f>
        <v>0</v>
      </c>
      <c r="D56" s="52" t="n">
        <f aca="false">D53+D54+D55</f>
        <v>172933.76</v>
      </c>
      <c r="E56" s="52" t="n">
        <f aca="false">E53+E54+E55</f>
        <v>541162.7455616</v>
      </c>
      <c r="F56" s="52" t="n">
        <f aca="false">F53+F54+F55</f>
        <v>1110736.23030183</v>
      </c>
      <c r="H56" s="52" t="n">
        <f aca="false">H53+H54+H55</f>
        <v>0</v>
      </c>
      <c r="I56" s="52" t="n">
        <f aca="false">I53+I54+I55</f>
        <v>109720.2496</v>
      </c>
      <c r="J56" s="52" t="n">
        <f aca="false">J53+J54+J55</f>
        <v>338503.335029517</v>
      </c>
      <c r="K56" s="52" t="n">
        <f aca="false">K53+K54+K55</f>
        <v>685728.180552933</v>
      </c>
      <c r="M56" s="52" t="n">
        <f aca="false">M53+M54+M55</f>
        <v>0</v>
      </c>
      <c r="N56" s="52" t="n">
        <f aca="false">N53+N54+N55</f>
        <v>229112.59904</v>
      </c>
      <c r="O56" s="52" t="n">
        <f aca="false">O53+O54+O55</f>
        <v>724043.101365309</v>
      </c>
      <c r="P56" s="52" t="n">
        <f aca="false">P53+P54+P55</f>
        <v>1498465.45831567</v>
      </c>
    </row>
    <row r="57" customFormat="false" ht="15" hidden="false" customHeight="false" outlineLevel="0" collapsed="false">
      <c r="A57" s="76" t="s">
        <v>593</v>
      </c>
      <c r="B57" s="77" t="s">
        <v>169</v>
      </c>
      <c r="C57" s="79" t="n">
        <f aca="false">C49-C56</f>
        <v>0</v>
      </c>
      <c r="D57" s="79" t="n">
        <f aca="false">D49-D56</f>
        <v>376714.24</v>
      </c>
      <c r="E57" s="79" t="n">
        <f aca="false">E49-E56</f>
        <v>1443008.5341184</v>
      </c>
      <c r="F57" s="79" t="n">
        <f aca="false">F49-F56</f>
        <v>3316955.89986679</v>
      </c>
      <c r="H57" s="79" t="n">
        <f aca="false">H49-H56</f>
        <v>0</v>
      </c>
      <c r="I57" s="79" t="n">
        <f aca="false">I49-I56</f>
        <v>246161.8304</v>
      </c>
      <c r="J57" s="79" t="n">
        <f aca="false">J49-J56</f>
        <v>893084.156883123</v>
      </c>
      <c r="K57" s="79" t="n">
        <f aca="false">K49-K56</f>
        <v>1990277.92313751</v>
      </c>
      <c r="M57" s="79" t="n">
        <f aca="false">M49-M56</f>
        <v>0</v>
      </c>
      <c r="N57" s="79" t="n">
        <f aca="false">N49-N56</f>
        <v>503252.39296</v>
      </c>
      <c r="O57" s="79" t="n">
        <f aca="false">O49-O56</f>
        <v>1980912.4233456</v>
      </c>
      <c r="P57" s="79" t="n">
        <f aca="false">P49-P56</f>
        <v>4621941.04702428</v>
      </c>
    </row>
    <row r="58" customFormat="false" ht="15" hidden="false" customHeight="false" outlineLevel="0" collapsed="false">
      <c r="A58" s="10" t="s">
        <v>594</v>
      </c>
      <c r="B58" s="36" t="s">
        <v>127</v>
      </c>
      <c r="D58" s="46" t="n">
        <f aca="false">IF(D49=0,0,D57/D49)</f>
        <v>0.685373620935581</v>
      </c>
      <c r="E58" s="46" t="n">
        <f aca="false">IF(E49=0,0,E57/E49)</f>
        <v>0.727260065144741</v>
      </c>
      <c r="F58" s="46" t="n">
        <f aca="false">IF(F49=0,0,F57/F49)</f>
        <v>0.749138784349143</v>
      </c>
      <c r="I58" s="46" t="n">
        <f aca="false">IF(I49=0,0,I57/I49)</f>
        <v>0.69169492996107</v>
      </c>
      <c r="J58" s="46" t="n">
        <f aca="false">IF(J49=0,0,J57/J49)</f>
        <v>0.725148771603855</v>
      </c>
      <c r="K58" s="46" t="n">
        <f aca="false">IF(K49=0,0,K57/K49)</f>
        <v>0.743749395934764</v>
      </c>
      <c r="N58" s="46" t="n">
        <f aca="false">IF(N49=0,0,N57/N49)</f>
        <v>0.687160635007524</v>
      </c>
      <c r="O58" s="46" t="n">
        <f aca="false">IF(O49=0,0,O57/O49)</f>
        <v>0.732327169614853</v>
      </c>
      <c r="P58" s="46" t="n">
        <f aca="false">IF(P49=0,0,P57/P49)</f>
        <v>0.755168965164603</v>
      </c>
    </row>
    <row r="60" customFormat="false" ht="15" hidden="false" customHeight="false" outlineLevel="0" collapsed="false">
      <c r="A60" s="4" t="s">
        <v>595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customFormat="false" ht="15" hidden="false" customHeight="false" outlineLevel="0" collapsed="false">
      <c r="A61" s="10" t="s">
        <v>596</v>
      </c>
      <c r="B61" s="36" t="s">
        <v>276</v>
      </c>
      <c r="C61" s="49" t="n">
        <v>0</v>
      </c>
      <c r="D61" s="49" t="n">
        <f aca="false">Assumptions!$C$116+Assumptions!$C$117+Assumptions!$C$118+Assumptions!$C$119+Assumptions!$C$120+Assumptions!$C$121+Assumptions!$C$122</f>
        <v>7</v>
      </c>
      <c r="E61" s="49" t="n">
        <f aca="false">Assumptions!$D$116+Assumptions!$D$117+Assumptions!$D$118+Assumptions!$D$119+Assumptions!$D$120+Assumptions!$D$121+Assumptions!$D$122</f>
        <v>10</v>
      </c>
      <c r="F61" s="49" t="n">
        <f aca="false">Assumptions!$E$116+Assumptions!$E$117+Assumptions!$E$118+Assumptions!$E$119+Assumptions!$E$120+Assumptions!$E$121+Assumptions!$E$122</f>
        <v>12.5</v>
      </c>
      <c r="H61" s="49" t="n">
        <v>0</v>
      </c>
      <c r="I61" s="49" t="n">
        <f aca="false">Assumptions!$C$116+Assumptions!$C$117+Assumptions!$C$118+Assumptions!$C$119+Assumptions!$C$120+Assumptions!$C$121+Assumptions!$C$122</f>
        <v>7</v>
      </c>
      <c r="J61" s="49" t="n">
        <f aca="false">Assumptions!$D$116+Assumptions!$D$117+Assumptions!$D$118+Assumptions!$D$119+Assumptions!$D$120+Assumptions!$D$121+Assumptions!$D$122</f>
        <v>10</v>
      </c>
      <c r="K61" s="49" t="n">
        <f aca="false">Assumptions!$E$116+Assumptions!$E$117+Assumptions!$E$118+Assumptions!$E$119+Assumptions!$E$120+Assumptions!$E$121+Assumptions!$E$122</f>
        <v>12.5</v>
      </c>
      <c r="M61" s="49" t="n">
        <v>0</v>
      </c>
      <c r="N61" s="49" t="n">
        <f aca="false">Assumptions!$C$116+Assumptions!$C$117+Assumptions!$C$118+Assumptions!$C$119+Assumptions!$C$120+Assumptions!$C$121+Assumptions!$C$122</f>
        <v>7</v>
      </c>
      <c r="O61" s="49" t="n">
        <f aca="false">Assumptions!$D$116+Assumptions!$D$117+Assumptions!$D$118+Assumptions!$D$119+Assumptions!$D$120+Assumptions!$D$121+Assumptions!$D$122</f>
        <v>10</v>
      </c>
      <c r="P61" s="49" t="n">
        <f aca="false">Assumptions!$E$116+Assumptions!$E$117+Assumptions!$E$118+Assumptions!$E$119+Assumptions!$E$120+Assumptions!$E$121+Assumptions!$E$122</f>
        <v>12.5</v>
      </c>
    </row>
    <row r="62" customFormat="false" ht="15" hidden="false" customHeight="false" outlineLevel="0" collapsed="false">
      <c r="A62" s="10" t="s">
        <v>597</v>
      </c>
      <c r="B62" s="36" t="s">
        <v>169</v>
      </c>
      <c r="D62" s="53" t="n">
        <f aca="false">Assumptions!$C$116*Assumptions!$C$73*Assumptions!$C$20*(1+Assumptions!$C$19)*(1+Assumptions!$C$21)^0*$C$14</f>
        <v>478400</v>
      </c>
      <c r="E62" s="53" t="n">
        <f aca="false">Assumptions!$D$116*Assumptions!$C$73*Assumptions!$C$20*(1+Assumptions!$C$19)*(1+Assumptions!$C$21)^1*$C$14</f>
        <v>497536</v>
      </c>
      <c r="F62" s="53" t="n">
        <f aca="false">Assumptions!$E$116*Assumptions!$C$73*Assumptions!$C$20*(1+Assumptions!$C$19)*(1+Assumptions!$C$21)^2*$C$14</f>
        <v>517437.44</v>
      </c>
      <c r="I62" s="53" t="n">
        <f aca="false">Assumptions!$C$116*Assumptions!$C$73*Assumptions!$C$20*(1+Assumptions!$C$19)*(1+Assumptions!$C$21)^0*$H$14</f>
        <v>502320</v>
      </c>
      <c r="J62" s="53" t="n">
        <f aca="false">Assumptions!$D$116*Assumptions!$C$73*Assumptions!$C$20*(1+Assumptions!$C$19)*(1+Assumptions!$C$21)^1*$H$14</f>
        <v>522412.8</v>
      </c>
      <c r="K62" s="53" t="n">
        <f aca="false">Assumptions!$E$116*Assumptions!$C$73*Assumptions!$C$20*(1+Assumptions!$C$19)*(1+Assumptions!$C$21)^2*$H$14</f>
        <v>543309.312</v>
      </c>
      <c r="N62" s="53" t="n">
        <f aca="false">Assumptions!$C$116*Assumptions!$C$73*Assumptions!$C$20*(1+Assumptions!$C$19)*(1+Assumptions!$C$21)^0*$M$14</f>
        <v>478400</v>
      </c>
      <c r="O62" s="53" t="n">
        <f aca="false">Assumptions!$D$116*Assumptions!$C$73*Assumptions!$C$20*(1+Assumptions!$C$19)*(1+Assumptions!$C$21)^1*$M$14</f>
        <v>497536</v>
      </c>
      <c r="P62" s="53" t="n">
        <f aca="false">Assumptions!$E$116*Assumptions!$C$73*Assumptions!$C$20*(1+Assumptions!$C$19)*(1+Assumptions!$C$21)^2*$M$14</f>
        <v>517437.44</v>
      </c>
    </row>
    <row r="63" customFormat="false" ht="15" hidden="false" customHeight="false" outlineLevel="0" collapsed="false">
      <c r="A63" s="10" t="s">
        <v>598</v>
      </c>
      <c r="B63" s="36" t="s">
        <v>169</v>
      </c>
      <c r="D63" s="53" t="n">
        <f aca="false">Assumptions!$C$117*Assumptions!$C$74*Assumptions!$C$20*(1+Assumptions!$C$19)*(1+Assumptions!$C$21)^0*$C$14</f>
        <v>0</v>
      </c>
      <c r="E63" s="53" t="n">
        <f aca="false">Assumptions!$D$117*Assumptions!$C$74*Assumptions!$C$20*(1+Assumptions!$C$19)*(1+Assumptions!$C$21)^1*$C$14</f>
        <v>0</v>
      </c>
      <c r="F63" s="53" t="n">
        <f aca="false">Assumptions!$E$117*Assumptions!$C$74*Assumptions!$C$20*(1+Assumptions!$C$19)*(1+Assumptions!$C$21)^2*$C$14</f>
        <v>0</v>
      </c>
      <c r="I63" s="53" t="n">
        <f aca="false">Assumptions!$C$117*Assumptions!$C$74*Assumptions!$C$20*(1+Assumptions!$C$19)*(1+Assumptions!$C$21)^0*$H$14</f>
        <v>0</v>
      </c>
      <c r="J63" s="53" t="n">
        <f aca="false">Assumptions!$D$117*Assumptions!$C$74*Assumptions!$C$20*(1+Assumptions!$C$19)*(1+Assumptions!$C$21)^1*$H$14</f>
        <v>0</v>
      </c>
      <c r="K63" s="53" t="n">
        <f aca="false">Assumptions!$E$117*Assumptions!$C$74*Assumptions!$C$20*(1+Assumptions!$C$19)*(1+Assumptions!$C$21)^2*$H$14</f>
        <v>0</v>
      </c>
      <c r="N63" s="53" t="n">
        <f aca="false">Assumptions!$C$117*Assumptions!$C$74*Assumptions!$C$20*(1+Assumptions!$C$19)*(1+Assumptions!$C$21)^0*$M$14</f>
        <v>0</v>
      </c>
      <c r="O63" s="53" t="n">
        <f aca="false">Assumptions!$D$117*Assumptions!$C$74*Assumptions!$C$20*(1+Assumptions!$C$19)*(1+Assumptions!$C$21)^1*$M$14</f>
        <v>0</v>
      </c>
      <c r="P63" s="53" t="n">
        <f aca="false">Assumptions!$E$117*Assumptions!$C$74*Assumptions!$C$20*(1+Assumptions!$C$19)*(1+Assumptions!$C$21)^2*$M$14</f>
        <v>0</v>
      </c>
    </row>
    <row r="64" customFormat="false" ht="15" hidden="false" customHeight="false" outlineLevel="0" collapsed="false">
      <c r="A64" s="10" t="s">
        <v>599</v>
      </c>
      <c r="B64" s="36" t="s">
        <v>169</v>
      </c>
      <c r="D64" s="53" t="n">
        <f aca="false">Assumptions!$C$118*Assumptions!$C$75*Assumptions!$C$20*(1+Assumptions!$C$19)*(1+Assumptions!$C$21)^0*$C$14</f>
        <v>388700</v>
      </c>
      <c r="E64" s="53" t="n">
        <f aca="false">Assumptions!$D$118*Assumptions!$C$75*Assumptions!$C$20*(1+Assumptions!$C$19)*(1+Assumptions!$C$21)^1*$C$14</f>
        <v>606372</v>
      </c>
      <c r="F64" s="53" t="n">
        <f aca="false">Assumptions!$E$118*Assumptions!$C$75*Assumptions!$C$20*(1+Assumptions!$C$19)*(1+Assumptions!$C$21)^2*$C$14</f>
        <v>840835.84</v>
      </c>
      <c r="I64" s="53" t="n">
        <f aca="false">Assumptions!$C$118*Assumptions!$C$75*Assumptions!$C$20*(1+Assumptions!$C$19)*(1+Assumptions!$C$21)^0*$H$14</f>
        <v>408135</v>
      </c>
      <c r="J64" s="53" t="n">
        <f aca="false">Assumptions!$D$118*Assumptions!$C$75*Assumptions!$C$20*(1+Assumptions!$C$19)*(1+Assumptions!$C$21)^1*$H$14</f>
        <v>636690.6</v>
      </c>
      <c r="K64" s="53" t="n">
        <f aca="false">Assumptions!$E$118*Assumptions!$C$75*Assumptions!$C$20*(1+Assumptions!$C$19)*(1+Assumptions!$C$21)^2*$H$14</f>
        <v>882877.632</v>
      </c>
      <c r="N64" s="53" t="n">
        <f aca="false">Assumptions!$C$118*Assumptions!$C$75*Assumptions!$C$20*(1+Assumptions!$C$19)*(1+Assumptions!$C$21)^0*$M$14</f>
        <v>388700</v>
      </c>
      <c r="O64" s="53" t="n">
        <f aca="false">Assumptions!$D$118*Assumptions!$C$75*Assumptions!$C$20*(1+Assumptions!$C$19)*(1+Assumptions!$C$21)^1*$M$14</f>
        <v>606372</v>
      </c>
      <c r="P64" s="53" t="n">
        <f aca="false">Assumptions!$E$118*Assumptions!$C$75*Assumptions!$C$20*(1+Assumptions!$C$19)*(1+Assumptions!$C$21)^2*$M$14</f>
        <v>840835.84</v>
      </c>
    </row>
    <row r="65" customFormat="false" ht="15" hidden="false" customHeight="false" outlineLevel="0" collapsed="false">
      <c r="A65" s="10" t="s">
        <v>600</v>
      </c>
      <c r="B65" s="36" t="s">
        <v>169</v>
      </c>
      <c r="D65" s="53" t="n">
        <f aca="false">Assumptions!$C$119*Assumptions!$C$76*Assumptions!$C$20*(1+Assumptions!$C$19)*(1+Assumptions!$C$21)^0*$C$14</f>
        <v>149500</v>
      </c>
      <c r="E65" s="53" t="n">
        <f aca="false">Assumptions!$D$119*Assumptions!$C$76*Assumptions!$C$20*(1+Assumptions!$C$19)*(1+Assumptions!$C$21)^1*$C$14</f>
        <v>310960</v>
      </c>
      <c r="F65" s="53" t="n">
        <f aca="false">Assumptions!$E$119*Assumptions!$C$76*Assumptions!$C$20*(1+Assumptions!$C$19)*(1+Assumptions!$C$21)^2*$C$14</f>
        <v>485097.6</v>
      </c>
      <c r="I65" s="53" t="n">
        <f aca="false">Assumptions!$C$119*Assumptions!$C$76*Assumptions!$C$20*(1+Assumptions!$C$19)*(1+Assumptions!$C$21)^0*$H$14</f>
        <v>156975</v>
      </c>
      <c r="J65" s="53" t="n">
        <f aca="false">Assumptions!$D$119*Assumptions!$C$76*Assumptions!$C$20*(1+Assumptions!$C$19)*(1+Assumptions!$C$21)^1*$H$14</f>
        <v>326508</v>
      </c>
      <c r="K65" s="53" t="n">
        <f aca="false">Assumptions!$E$119*Assumptions!$C$76*Assumptions!$C$20*(1+Assumptions!$C$19)*(1+Assumptions!$C$21)^2*$H$14</f>
        <v>509352.48</v>
      </c>
      <c r="N65" s="53" t="n">
        <f aca="false">Assumptions!$C$119*Assumptions!$C$76*Assumptions!$C$20*(1+Assumptions!$C$19)*(1+Assumptions!$C$21)^0*$M$14</f>
        <v>149500</v>
      </c>
      <c r="O65" s="53" t="n">
        <f aca="false">Assumptions!$D$119*Assumptions!$C$76*Assumptions!$C$20*(1+Assumptions!$C$19)*(1+Assumptions!$C$21)^1*$M$14</f>
        <v>310960</v>
      </c>
      <c r="P65" s="53" t="n">
        <f aca="false">Assumptions!$E$119*Assumptions!$C$76*Assumptions!$C$20*(1+Assumptions!$C$19)*(1+Assumptions!$C$21)^2*$M$14</f>
        <v>485097.6</v>
      </c>
    </row>
    <row r="66" customFormat="false" ht="15" hidden="false" customHeight="false" outlineLevel="0" collapsed="false">
      <c r="A66" s="10" t="s">
        <v>601</v>
      </c>
      <c r="B66" s="36" t="s">
        <v>169</v>
      </c>
      <c r="D66" s="53" t="n">
        <f aca="false">Assumptions!$C$120*Assumptions!$C$77*Assumptions!$C$20*(1+Assumptions!$C$19)*(1+Assumptions!$C$21)^0*$C$14</f>
        <v>119600</v>
      </c>
      <c r="E66" s="53" t="n">
        <f aca="false">Assumptions!$D$120*Assumptions!$C$77*Assumptions!$C$20*(1+Assumptions!$C$19)*(1+Assumptions!$C$21)^1*$C$14</f>
        <v>248768</v>
      </c>
      <c r="F66" s="53" t="n">
        <f aca="false">Assumptions!$E$120*Assumptions!$C$77*Assumptions!$C$20*(1+Assumptions!$C$19)*(1+Assumptions!$C$21)^2*$C$14</f>
        <v>258718.72</v>
      </c>
      <c r="I66" s="53" t="n">
        <f aca="false">Assumptions!$C$120*Assumptions!$C$77*Assumptions!$C$20*(1+Assumptions!$C$19)*(1+Assumptions!$C$21)^0*$H$14</f>
        <v>125580</v>
      </c>
      <c r="J66" s="53" t="n">
        <f aca="false">Assumptions!$D$120*Assumptions!$C$77*Assumptions!$C$20*(1+Assumptions!$C$19)*(1+Assumptions!$C$21)^1*$H$14</f>
        <v>261206.4</v>
      </c>
      <c r="K66" s="53" t="n">
        <f aca="false">Assumptions!$E$120*Assumptions!$C$77*Assumptions!$C$20*(1+Assumptions!$C$19)*(1+Assumptions!$C$21)^2*$H$14</f>
        <v>271654.656</v>
      </c>
      <c r="N66" s="53" t="n">
        <f aca="false">Assumptions!$C$120*Assumptions!$C$77*Assumptions!$C$20*(1+Assumptions!$C$19)*(1+Assumptions!$C$21)^0*$M$14</f>
        <v>119600</v>
      </c>
      <c r="O66" s="53" t="n">
        <f aca="false">Assumptions!$D$120*Assumptions!$C$77*Assumptions!$C$20*(1+Assumptions!$C$19)*(1+Assumptions!$C$21)^1*$M$14</f>
        <v>248768</v>
      </c>
      <c r="P66" s="53" t="n">
        <f aca="false">Assumptions!$E$120*Assumptions!$C$77*Assumptions!$C$20*(1+Assumptions!$C$19)*(1+Assumptions!$C$21)^2*$M$14</f>
        <v>258718.72</v>
      </c>
    </row>
    <row r="67" customFormat="false" ht="15" hidden="false" customHeight="false" outlineLevel="0" collapsed="false">
      <c r="A67" s="10" t="s">
        <v>602</v>
      </c>
      <c r="B67" s="36" t="s">
        <v>169</v>
      </c>
      <c r="D67" s="53" t="n">
        <f aca="false">Assumptions!$C$121*Assumptions!$C$78*Assumptions!$C$20*(1+Assumptions!$C$19)*(1+Assumptions!$C$21)^0*$C$14</f>
        <v>127075</v>
      </c>
      <c r="E67" s="53" t="n">
        <f aca="false">Assumptions!$D$121*Assumptions!$C$78*Assumptions!$C$20*(1+Assumptions!$C$19)*(1+Assumptions!$C$21)^1*$C$14</f>
        <v>132158</v>
      </c>
      <c r="F67" s="53" t="n">
        <f aca="false">Assumptions!$E$121*Assumptions!$C$78*Assumptions!$C$20*(1+Assumptions!$C$19)*(1+Assumptions!$C$21)^2*$C$14</f>
        <v>206166.48</v>
      </c>
      <c r="I67" s="53" t="n">
        <f aca="false">Assumptions!$C$121*Assumptions!$C$78*Assumptions!$C$20*(1+Assumptions!$C$19)*(1+Assumptions!$C$21)^0*$H$14</f>
        <v>133428.75</v>
      </c>
      <c r="J67" s="53" t="n">
        <f aca="false">Assumptions!$D$121*Assumptions!$C$78*Assumptions!$C$20*(1+Assumptions!$C$19)*(1+Assumptions!$C$21)^1*$H$14</f>
        <v>138765.9</v>
      </c>
      <c r="K67" s="53" t="n">
        <f aca="false">Assumptions!$E$121*Assumptions!$C$78*Assumptions!$C$20*(1+Assumptions!$C$19)*(1+Assumptions!$C$21)^2*$H$14</f>
        <v>216474.804</v>
      </c>
      <c r="N67" s="53" t="n">
        <f aca="false">Assumptions!$C$121*Assumptions!$C$78*Assumptions!$C$20*(1+Assumptions!$C$19)*(1+Assumptions!$C$21)^0*$M$14</f>
        <v>127075</v>
      </c>
      <c r="O67" s="53" t="n">
        <f aca="false">Assumptions!$D$121*Assumptions!$C$78*Assumptions!$C$20*(1+Assumptions!$C$19)*(1+Assumptions!$C$21)^1*$M$14</f>
        <v>132158</v>
      </c>
      <c r="P67" s="53" t="n">
        <f aca="false">Assumptions!$E$121*Assumptions!$C$78*Assumptions!$C$20*(1+Assumptions!$C$19)*(1+Assumptions!$C$21)^2*$M$14</f>
        <v>206166.48</v>
      </c>
    </row>
    <row r="68" customFormat="false" ht="15" hidden="false" customHeight="false" outlineLevel="0" collapsed="false">
      <c r="A68" s="10" t="s">
        <v>603</v>
      </c>
      <c r="B68" s="36" t="s">
        <v>169</v>
      </c>
      <c r="D68" s="53" t="n">
        <f aca="false">Assumptions!$C$122*Assumptions!$C$79*12*(1+Assumptions!$C$21)^0*$C$14</f>
        <v>360000</v>
      </c>
      <c r="E68" s="53" t="n">
        <f aca="false">Assumptions!$D$122*Assumptions!$C$79*12*(1+Assumptions!$C$21)^1*$C$14</f>
        <v>374400</v>
      </c>
      <c r="F68" s="53" t="n">
        <f aca="false">Assumptions!$E$122*Assumptions!$C$79*12*(1+Assumptions!$C$21)^2*$C$14</f>
        <v>389376</v>
      </c>
      <c r="I68" s="53" t="n">
        <f aca="false">Assumptions!$C$122*Assumptions!$C$79*12*(1+Assumptions!$C$21)^0*$H$14</f>
        <v>378000</v>
      </c>
      <c r="J68" s="53" t="n">
        <f aca="false">Assumptions!$D$122*Assumptions!$C$79*12*(1+Assumptions!$C$21)^1*$H$14</f>
        <v>393120</v>
      </c>
      <c r="K68" s="53" t="n">
        <f aca="false">Assumptions!$E$122*Assumptions!$C$79*12*(1+Assumptions!$C$21)^2*$H$14</f>
        <v>408844.8</v>
      </c>
      <c r="N68" s="53" t="n">
        <f aca="false">Assumptions!$C$122*Assumptions!$C$79*12*(1+Assumptions!$C$21)^0*$M$14</f>
        <v>360000</v>
      </c>
      <c r="O68" s="53" t="n">
        <f aca="false">Assumptions!$D$122*Assumptions!$C$79*12*(1+Assumptions!$C$21)^1*$M$14</f>
        <v>374400</v>
      </c>
      <c r="P68" s="53" t="n">
        <f aca="false">Assumptions!$E$122*Assumptions!$C$79*12*(1+Assumptions!$C$21)^2*$M$14</f>
        <v>389376</v>
      </c>
    </row>
    <row r="69" customFormat="false" ht="15" hidden="false" customHeight="false" outlineLevel="0" collapsed="false">
      <c r="A69" s="10" t="s">
        <v>604</v>
      </c>
      <c r="B69" s="36" t="s">
        <v>169</v>
      </c>
      <c r="D69" s="53" t="n">
        <f aca="false">Assumptions!$C$123*Assumptions!$C$80*12*(1+Assumptions!$C$21)^0*$C$14</f>
        <v>1200000</v>
      </c>
      <c r="E69" s="53" t="n">
        <f aca="false">Assumptions!$D$123*Assumptions!$C$80*12*(1+Assumptions!$C$21)^1*$C$14</f>
        <v>873600</v>
      </c>
      <c r="F69" s="53" t="n">
        <f aca="false">Assumptions!$E$123*Assumptions!$C$80*12*(1+Assumptions!$C$21)^2*$C$14</f>
        <v>648960</v>
      </c>
      <c r="I69" s="53" t="n">
        <f aca="false">Assumptions!$C$123*Assumptions!$C$80*12*(1+Assumptions!$C$21)^0*$H$14</f>
        <v>1260000</v>
      </c>
      <c r="J69" s="53" t="n">
        <f aca="false">Assumptions!$D$123*Assumptions!$C$80*12*(1+Assumptions!$C$21)^1*$H$14</f>
        <v>917280</v>
      </c>
      <c r="K69" s="53" t="n">
        <f aca="false">Assumptions!$E$123*Assumptions!$C$80*12*(1+Assumptions!$C$21)^2*$H$14</f>
        <v>681408</v>
      </c>
      <c r="N69" s="53" t="n">
        <f aca="false">Assumptions!$C$123*Assumptions!$C$80*12*(1+Assumptions!$C$21)^0*$M$14</f>
        <v>1200000</v>
      </c>
      <c r="O69" s="53" t="n">
        <f aca="false">Assumptions!$D$123*Assumptions!$C$80*12*(1+Assumptions!$C$21)^1*$M$14</f>
        <v>873600</v>
      </c>
      <c r="P69" s="53" t="n">
        <f aca="false">Assumptions!$E$123*Assumptions!$C$80*12*(1+Assumptions!$C$21)^2*$M$14</f>
        <v>648960</v>
      </c>
    </row>
    <row r="70" customFormat="false" ht="15" hidden="false" customHeight="false" outlineLevel="0" collapsed="false">
      <c r="A70" s="10" t="s">
        <v>605</v>
      </c>
      <c r="B70" s="36" t="s">
        <v>169</v>
      </c>
      <c r="D70" s="53" t="n">
        <f aca="false">(D18*D38+D23*D39+D28*D40)*Assumptions!$D$60</f>
        <v>35328</v>
      </c>
      <c r="E70" s="53" t="n">
        <f aca="false">(E18*E38+E23*E39+E28*E40)*Assumptions!$D$60</f>
        <v>84328.8192</v>
      </c>
      <c r="F70" s="53" t="n">
        <f aca="false">(F18*F38+F23*F39+F28*F40)*Assumptions!$D$60</f>
        <v>139166.91333888</v>
      </c>
      <c r="I70" s="53" t="n">
        <f aca="false">(I18*I38+I23*I39+I28*I40)*Assumptions!$D$60</f>
        <v>20666.88</v>
      </c>
      <c r="J70" s="53" t="n">
        <f aca="false">(J18*J38+J23*J39+J28*J40)*Assumptions!$D$60</f>
        <v>49332.359232</v>
      </c>
      <c r="K70" s="53" t="n">
        <f aca="false">(K18*K38+K23*K39+K28*K40)*Assumptions!$D$60</f>
        <v>81412.6443032448</v>
      </c>
      <c r="N70" s="53" t="n">
        <f aca="false">(N18*N38+N23*N39+N28*N40)*Assumptions!$D$60</f>
        <v>49600.512</v>
      </c>
      <c r="O70" s="53" t="n">
        <f aca="false">(O18*O38+O23*O39+O28*O40)*Assumptions!$D$60</f>
        <v>118397.6621568</v>
      </c>
      <c r="P70" s="53" t="n">
        <f aca="false">(P18*P38+P23*P39+P28*P40)*Assumptions!$D$60</f>
        <v>195390.346327788</v>
      </c>
    </row>
    <row r="71" customFormat="false" ht="15" hidden="false" customHeight="false" outlineLevel="0" collapsed="false">
      <c r="A71" s="10" t="s">
        <v>606</v>
      </c>
      <c r="B71" s="36" t="s">
        <v>169</v>
      </c>
      <c r="D71" s="53" t="n">
        <f aca="false">Assumptions!$C$124*$C$14</f>
        <v>450000</v>
      </c>
      <c r="E71" s="53" t="n">
        <f aca="false">Assumptions!$D$124*$C$14</f>
        <v>700000</v>
      </c>
      <c r="F71" s="53" t="n">
        <f aca="false">Assumptions!$E$124*$C$14</f>
        <v>900000</v>
      </c>
      <c r="I71" s="53" t="n">
        <f aca="false">Assumptions!$C$124*$H$14</f>
        <v>472500</v>
      </c>
      <c r="J71" s="53" t="n">
        <f aca="false">Assumptions!$D$124*$H$14</f>
        <v>735000</v>
      </c>
      <c r="K71" s="53" t="n">
        <f aca="false">Assumptions!$E$124*$H$14</f>
        <v>945000</v>
      </c>
      <c r="N71" s="53" t="n">
        <f aca="false">Assumptions!$C$124*$M$14</f>
        <v>450000</v>
      </c>
      <c r="O71" s="53" t="n">
        <f aca="false">Assumptions!$D$124*$M$14</f>
        <v>700000</v>
      </c>
      <c r="P71" s="53" t="n">
        <f aca="false">Assumptions!$E$124*$M$14</f>
        <v>900000</v>
      </c>
    </row>
    <row r="72" customFormat="false" ht="15" hidden="false" customHeight="false" outlineLevel="0" collapsed="false">
      <c r="A72" s="10" t="s">
        <v>607</v>
      </c>
      <c r="B72" s="36" t="s">
        <v>169</v>
      </c>
      <c r="D72" s="53" t="n">
        <f aca="false">D61*Assumptions!$C$32*(1+Assumptions!$C$21)^0*$C$14</f>
        <v>168000</v>
      </c>
      <c r="E72" s="53" t="n">
        <f aca="false">E61*Assumptions!$C$32*(1+Assumptions!$C$21)^1*$C$14</f>
        <v>249600</v>
      </c>
      <c r="F72" s="53" t="n">
        <f aca="false">F61*Assumptions!$C$32*(1+Assumptions!$C$21)^2*$C$14</f>
        <v>324480</v>
      </c>
      <c r="I72" s="53" t="n">
        <f aca="false">I61*Assumptions!$C$32*(1+Assumptions!$C$21)^0*$H$14</f>
        <v>176400</v>
      </c>
      <c r="J72" s="53" t="n">
        <f aca="false">J61*Assumptions!$C$32*(1+Assumptions!$C$21)^1*$H$14</f>
        <v>262080</v>
      </c>
      <c r="K72" s="53" t="n">
        <f aca="false">K61*Assumptions!$C$32*(1+Assumptions!$C$21)^2*$H$14</f>
        <v>340704</v>
      </c>
      <c r="N72" s="53" t="n">
        <f aca="false">N61*Assumptions!$C$32*(1+Assumptions!$C$21)^0*$M$14</f>
        <v>168000</v>
      </c>
      <c r="O72" s="53" t="n">
        <f aca="false">O61*Assumptions!$C$32*(1+Assumptions!$C$21)^1*$M$14</f>
        <v>249600</v>
      </c>
      <c r="P72" s="53" t="n">
        <f aca="false">P61*Assumptions!$C$32*(1+Assumptions!$C$21)^2*$M$14</f>
        <v>324480</v>
      </c>
    </row>
    <row r="73" customFormat="false" ht="15" hidden="false" customHeight="false" outlineLevel="0" collapsed="false">
      <c r="A73" s="10" t="s">
        <v>608</v>
      </c>
      <c r="B73" s="36" t="s">
        <v>169</v>
      </c>
      <c r="D73" s="53" t="n">
        <f aca="false">Assumptions!$C$125*$C$14</f>
        <v>280000</v>
      </c>
      <c r="E73" s="53" t="n">
        <f aca="false">Assumptions!$D$125*$C$14</f>
        <v>320000</v>
      </c>
      <c r="F73" s="53" t="n">
        <f aca="false">Assumptions!$E$125*$C$14</f>
        <v>360000</v>
      </c>
      <c r="I73" s="53" t="n">
        <f aca="false">Assumptions!$C$125*$H$14</f>
        <v>294000</v>
      </c>
      <c r="J73" s="53" t="n">
        <f aca="false">Assumptions!$D$125*$H$14</f>
        <v>336000</v>
      </c>
      <c r="K73" s="53" t="n">
        <f aca="false">Assumptions!$E$125*$H$14</f>
        <v>378000</v>
      </c>
      <c r="N73" s="53" t="n">
        <f aca="false">Assumptions!$C$125*$M$14</f>
        <v>280000</v>
      </c>
      <c r="O73" s="53" t="n">
        <f aca="false">Assumptions!$D$125*$M$14</f>
        <v>320000</v>
      </c>
      <c r="P73" s="53" t="n">
        <f aca="false">Assumptions!$E$125*$M$14</f>
        <v>360000</v>
      </c>
    </row>
    <row r="74" customFormat="false" ht="15" hidden="false" customHeight="false" outlineLevel="0" collapsed="false">
      <c r="A74" s="10" t="s">
        <v>609</v>
      </c>
      <c r="B74" s="36" t="s">
        <v>169</v>
      </c>
      <c r="D74" s="53" t="n">
        <f aca="false">D49*Assumptions!$C$29</f>
        <v>8244.72</v>
      </c>
      <c r="E74" s="53" t="n">
        <f aca="false">E49*Assumptions!$C$29</f>
        <v>29762.5691952</v>
      </c>
      <c r="F74" s="53" t="n">
        <f aca="false">F49*Assumptions!$C$29</f>
        <v>66415.3819525293</v>
      </c>
      <c r="I74" s="53" t="n">
        <f aca="false">I49*Assumptions!$C$29</f>
        <v>5338.2312</v>
      </c>
      <c r="J74" s="53" t="n">
        <f aca="false">J49*Assumptions!$C$29</f>
        <v>18473.8123786896</v>
      </c>
      <c r="K74" s="53" t="n">
        <f aca="false">K49*Assumptions!$C$29</f>
        <v>40140.0915553566</v>
      </c>
      <c r="N74" s="53" t="n">
        <f aca="false">N49*Assumptions!$C$29</f>
        <v>10985.47488</v>
      </c>
      <c r="O74" s="53" t="n">
        <f aca="false">O49*Assumptions!$C$29</f>
        <v>40574.3328706637</v>
      </c>
      <c r="P74" s="53" t="n">
        <f aca="false">P49*Assumptions!$C$29</f>
        <v>91806.0975800993</v>
      </c>
    </row>
    <row r="75" customFormat="false" ht="15" hidden="false" customHeight="false" outlineLevel="0" collapsed="false">
      <c r="A75" s="7" t="s">
        <v>610</v>
      </c>
      <c r="B75" s="36" t="s">
        <v>169</v>
      </c>
      <c r="C75" s="52" t="n">
        <f aca="false">C62+C63+C64+C65+C66+C67+C68+C69+C70+C71+C72+C73+C74</f>
        <v>0</v>
      </c>
      <c r="D75" s="52" t="n">
        <f aca="false">D62+D63+D64+D65+D66+D67+D68+D69+D70+D71+D72+D73+D74</f>
        <v>3764847.72</v>
      </c>
      <c r="E75" s="52" t="n">
        <f aca="false">E62+E63+E64+E65+E66+E67+E68+E69+E70+E71+E72+E73+E74</f>
        <v>4427485.3883952</v>
      </c>
      <c r="F75" s="52" t="n">
        <f aca="false">F62+F63+F64+F65+F66+F67+F68+F69+F70+F71+F72+F73+F74</f>
        <v>5136654.37529141</v>
      </c>
      <c r="H75" s="52" t="n">
        <f aca="false">H62+H63+H64+H65+H66+H67+H68+H69+H70+H71+H72+H73+H74</f>
        <v>0</v>
      </c>
      <c r="I75" s="52" t="n">
        <f aca="false">I62+I63+I64+I65+I66+I67+I68+I69+I70+I71+I72+I73+I74</f>
        <v>3933343.8612</v>
      </c>
      <c r="J75" s="52" t="n">
        <f aca="false">J62+J63+J64+J65+J66+J67+J68+J69+J70+J71+J72+J73+J74</f>
        <v>4596869.87161069</v>
      </c>
      <c r="K75" s="52" t="n">
        <f aca="false">K62+K63+K64+K65+K66+K67+K68+K69+K70+K71+K72+K73+K74</f>
        <v>5299178.4198586</v>
      </c>
      <c r="M75" s="52" t="n">
        <f aca="false">M62+M63+M64+M65+M66+M67+M68+M69+M70+M71+M72+M73+M74</f>
        <v>0</v>
      </c>
      <c r="N75" s="52" t="n">
        <f aca="false">N62+N63+N64+N65+N66+N67+N68+N69+N70+N71+N72+N73+N74</f>
        <v>3781860.98688</v>
      </c>
      <c r="O75" s="52" t="n">
        <f aca="false">O62+O63+O64+O65+O66+O67+O68+O69+O70+O71+O72+O73+O74</f>
        <v>4472365.99502746</v>
      </c>
      <c r="P75" s="52" t="n">
        <f aca="false">P62+P63+P64+P65+P66+P67+P68+P69+P70+P71+P72+P73+P74</f>
        <v>5218268.52390789</v>
      </c>
    </row>
    <row r="76" customFormat="false" ht="15" hidden="false" customHeight="false" outlineLevel="0" collapsed="false">
      <c r="A76" s="10" t="s">
        <v>611</v>
      </c>
      <c r="B76" s="36" t="s">
        <v>169</v>
      </c>
      <c r="D76" s="53" t="n">
        <f aca="false">D75*Assumptions!$C$30</f>
        <v>188242.386</v>
      </c>
      <c r="E76" s="53" t="n">
        <f aca="false">E75*Assumptions!$C$30</f>
        <v>221374.26941976</v>
      </c>
      <c r="F76" s="53" t="n">
        <f aca="false">F75*Assumptions!$C$30</f>
        <v>256832.718764571</v>
      </c>
      <c r="I76" s="53" t="n">
        <f aca="false">I75*Assumptions!$C$30</f>
        <v>196667.19306</v>
      </c>
      <c r="J76" s="53" t="n">
        <f aca="false">J75*Assumptions!$C$30</f>
        <v>229843.493580535</v>
      </c>
      <c r="K76" s="53" t="n">
        <f aca="false">K75*Assumptions!$C$30</f>
        <v>264958.92099293</v>
      </c>
      <c r="N76" s="53" t="n">
        <f aca="false">N75*Assumptions!$C$30</f>
        <v>189093.049344</v>
      </c>
      <c r="O76" s="53" t="n">
        <f aca="false">O75*Assumptions!$C$30</f>
        <v>223618.299751373</v>
      </c>
      <c r="P76" s="53" t="n">
        <f aca="false">P75*Assumptions!$C$30</f>
        <v>260913.426195394</v>
      </c>
    </row>
    <row r="77" customFormat="false" ht="15" hidden="false" customHeight="false" outlineLevel="0" collapsed="false">
      <c r="A77" s="76" t="s">
        <v>612</v>
      </c>
      <c r="B77" s="77" t="s">
        <v>169</v>
      </c>
      <c r="C77" s="79" t="n">
        <f aca="false">C75+C76</f>
        <v>0</v>
      </c>
      <c r="D77" s="79" t="n">
        <f aca="false">D75+D76</f>
        <v>3953090.106</v>
      </c>
      <c r="E77" s="79" t="n">
        <f aca="false">E75+E76</f>
        <v>4648859.65781496</v>
      </c>
      <c r="F77" s="79" t="n">
        <f aca="false">F75+F76</f>
        <v>5393487.09405598</v>
      </c>
      <c r="H77" s="79" t="n">
        <f aca="false">H75+H76</f>
        <v>0</v>
      </c>
      <c r="I77" s="79" t="n">
        <f aca="false">I75+I76</f>
        <v>4130011.05426</v>
      </c>
      <c r="J77" s="79" t="n">
        <f aca="false">J75+J76</f>
        <v>4826713.36519122</v>
      </c>
      <c r="K77" s="79" t="n">
        <f aca="false">K75+K76</f>
        <v>5564137.34085153</v>
      </c>
      <c r="M77" s="79" t="n">
        <f aca="false">M75+M76</f>
        <v>0</v>
      </c>
      <c r="N77" s="79" t="n">
        <f aca="false">N75+N76</f>
        <v>3970954.036224</v>
      </c>
      <c r="O77" s="79" t="n">
        <f aca="false">O75+O76</f>
        <v>4695984.29477884</v>
      </c>
      <c r="P77" s="79" t="n">
        <f aca="false">P75+P76</f>
        <v>5479181.95010328</v>
      </c>
    </row>
    <row r="78" customFormat="false" ht="15" hidden="false" customHeight="false" outlineLevel="0" collapsed="false">
      <c r="A78" s="10" t="s">
        <v>613</v>
      </c>
      <c r="B78" s="36" t="s">
        <v>169</v>
      </c>
      <c r="C78" s="53" t="n">
        <f aca="false">Assumptions!$D$84+Assumptions!$D$85+Assumptions!$D$86+Assumptions!$D$87+Assumptions!$D$88+Assumptions!$D$89*Assumptions!$C$90*Assumptions!$C$80</f>
        <v>1590000</v>
      </c>
      <c r="H78" s="53" t="n">
        <f aca="false">Assumptions!$D$84+Assumptions!$D$85+Assumptions!$D$86+Assumptions!$D$87+Assumptions!$D$88+Assumptions!$D$89*Assumptions!$C$90*Assumptions!$C$80</f>
        <v>1590000</v>
      </c>
      <c r="M78" s="53" t="n">
        <f aca="false">Assumptions!$D$84+Assumptions!$D$85+Assumptions!$D$86+Assumptions!$D$87+Assumptions!$D$88+Assumptions!$D$89*Assumptions!$C$90*Assumptions!$C$80</f>
        <v>1590000</v>
      </c>
    </row>
    <row r="79" customFormat="false" ht="15" hidden="false" customHeight="false" outlineLevel="0" collapsed="false">
      <c r="A79" s="76" t="s">
        <v>614</v>
      </c>
      <c r="B79" s="77" t="s">
        <v>169</v>
      </c>
      <c r="C79" s="79" t="n">
        <f aca="false">C57-C77-C78</f>
        <v>-1590000</v>
      </c>
      <c r="D79" s="79" t="n">
        <f aca="false">D57-D77-D78</f>
        <v>-3576375.866</v>
      </c>
      <c r="E79" s="79" t="n">
        <f aca="false">E57-E77-E78</f>
        <v>-3205851.12369656</v>
      </c>
      <c r="F79" s="79" t="n">
        <f aca="false">F57-F77-F78</f>
        <v>-2076531.19418919</v>
      </c>
      <c r="H79" s="79" t="n">
        <f aca="false">H57-H77-H78</f>
        <v>-1590000</v>
      </c>
      <c r="I79" s="79" t="n">
        <f aca="false">I57-I77-I78</f>
        <v>-3883849.22386</v>
      </c>
      <c r="J79" s="79" t="n">
        <f aca="false">J57-J77-J78</f>
        <v>-3933629.2083081</v>
      </c>
      <c r="K79" s="79" t="n">
        <f aca="false">K57-K77-K78</f>
        <v>-3573859.41771403</v>
      </c>
      <c r="M79" s="79" t="n">
        <f aca="false">M57-M77-M78</f>
        <v>-1590000</v>
      </c>
      <c r="N79" s="79" t="n">
        <f aca="false">N57-N77-N78</f>
        <v>-3467701.643264</v>
      </c>
      <c r="O79" s="79" t="n">
        <f aca="false">O57-O77-O78</f>
        <v>-2715071.87143323</v>
      </c>
      <c r="P79" s="79" t="n">
        <f aca="false">P57-P77-P78</f>
        <v>-857240.903079002</v>
      </c>
    </row>
    <row r="80" customFormat="false" ht="15" hidden="false" customHeight="false" outlineLevel="0" collapsed="false">
      <c r="A80" s="10" t="s">
        <v>615</v>
      </c>
      <c r="B80" s="36" t="s">
        <v>127</v>
      </c>
      <c r="D80" s="46" t="n">
        <f aca="false">IF(D49=0,0,D79/D49)</f>
        <v>-6.50666584068349</v>
      </c>
      <c r="E80" s="46" t="n">
        <f aca="false">IF(E49=0,0,E79/E49)</f>
        <v>-1.61571289561937</v>
      </c>
      <c r="F80" s="46" t="n">
        <f aca="false">IF(F49=0,0,F79/F49)</f>
        <v>-0.468987258630855</v>
      </c>
      <c r="I80" s="46" t="n">
        <f aca="false">IF(I49=0,0,I79/I49)</f>
        <v>-10.9133037096445</v>
      </c>
      <c r="J80" s="46" t="n">
        <f aca="false">IF(J49=0,0,J79/J49)</f>
        <v>-3.19395027485966</v>
      </c>
      <c r="K80" s="46" t="n">
        <f aca="false">IF(K49=0,0,K79/K49)</f>
        <v>-1.33551990512479</v>
      </c>
      <c r="N80" s="46" t="n">
        <f aca="false">IF(N49=0,0,N79/N49)</f>
        <v>-4.73493637891419</v>
      </c>
      <c r="O80" s="46" t="n">
        <f aca="false">IF(O49=0,0,O79/O49)</f>
        <v>-1.00373993088977</v>
      </c>
      <c r="P80" s="46" t="n">
        <f aca="false">IF(P49=0,0,P79/P49)</f>
        <v>-0.140062739677679</v>
      </c>
    </row>
    <row r="82" customFormat="false" ht="15" hidden="false" customHeight="false" outlineLevel="0" collapsed="false">
      <c r="A82" s="4" t="s">
        <v>616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customFormat="false" ht="15" hidden="false" customHeight="false" outlineLevel="0" collapsed="false">
      <c r="A83" s="10" t="s">
        <v>617</v>
      </c>
      <c r="B83" s="36" t="s">
        <v>169</v>
      </c>
      <c r="D83" s="53" t="n">
        <f aca="false">MAX(0,D61-C61)*Assumptions!$C$27</f>
        <v>56000</v>
      </c>
      <c r="E83" s="53" t="n">
        <f aca="false">MAX(0,E61-D61)*Assumptions!$C$27</f>
        <v>24000</v>
      </c>
      <c r="F83" s="53" t="n">
        <f aca="false">MAX(0,F61-E61)*Assumptions!$C$27</f>
        <v>20000</v>
      </c>
      <c r="I83" s="53" t="n">
        <f aca="false">MAX(0,I61-H61)*Assumptions!$C$27</f>
        <v>56000</v>
      </c>
      <c r="J83" s="53" t="n">
        <f aca="false">MAX(0,J61-I61)*Assumptions!$C$27</f>
        <v>24000</v>
      </c>
      <c r="K83" s="53" t="n">
        <f aca="false">MAX(0,K61-J61)*Assumptions!$C$27</f>
        <v>20000</v>
      </c>
      <c r="N83" s="53" t="n">
        <f aca="false">MAX(0,N61-M61)*Assumptions!$C$27</f>
        <v>56000</v>
      </c>
      <c r="O83" s="53" t="n">
        <f aca="false">MAX(0,O61-N61)*Assumptions!$C$27</f>
        <v>24000</v>
      </c>
      <c r="P83" s="53" t="n">
        <f aca="false">MAX(0,P61-O61)*Assumptions!$C$27</f>
        <v>20000</v>
      </c>
    </row>
    <row r="84" customFormat="false" ht="15" hidden="false" customHeight="false" outlineLevel="0" collapsed="false">
      <c r="A84" s="10" t="s">
        <v>618</v>
      </c>
      <c r="B84" s="36" t="s">
        <v>169</v>
      </c>
      <c r="C84" s="53" t="n">
        <v>0</v>
      </c>
      <c r="D84" s="53" t="n">
        <f aca="false">C84+D83</f>
        <v>56000</v>
      </c>
      <c r="E84" s="53" t="n">
        <f aca="false">D84+E83</f>
        <v>80000</v>
      </c>
      <c r="F84" s="53" t="n">
        <f aca="false">E84+F83</f>
        <v>100000</v>
      </c>
      <c r="H84" s="53" t="n">
        <v>0</v>
      </c>
      <c r="I84" s="53" t="n">
        <f aca="false">H84+I83</f>
        <v>56000</v>
      </c>
      <c r="J84" s="53" t="n">
        <f aca="false">I84+J83</f>
        <v>80000</v>
      </c>
      <c r="K84" s="53" t="n">
        <f aca="false">J84+K83</f>
        <v>100000</v>
      </c>
      <c r="M84" s="53" t="n">
        <v>0</v>
      </c>
      <c r="N84" s="53" t="n">
        <f aca="false">M84+N83</f>
        <v>56000</v>
      </c>
      <c r="O84" s="53" t="n">
        <f aca="false">N84+O83</f>
        <v>80000</v>
      </c>
      <c r="P84" s="53" t="n">
        <f aca="false">O84+P83</f>
        <v>100000</v>
      </c>
    </row>
    <row r="85" customFormat="false" ht="15" hidden="false" customHeight="false" outlineLevel="0" collapsed="false">
      <c r="A85" s="10" t="s">
        <v>619</v>
      </c>
      <c r="B85" s="36" t="s">
        <v>169</v>
      </c>
      <c r="D85" s="53" t="n">
        <f aca="false">D84/Assumptions!$C$28</f>
        <v>18666.6666666667</v>
      </c>
      <c r="E85" s="53" t="n">
        <f aca="false">E84/Assumptions!$C$28</f>
        <v>26666.6666666667</v>
      </c>
      <c r="F85" s="53" t="n">
        <f aca="false">F84/Assumptions!$C$28</f>
        <v>33333.3333333333</v>
      </c>
      <c r="I85" s="53" t="n">
        <f aca="false">I84/Assumptions!$C$28</f>
        <v>18666.6666666667</v>
      </c>
      <c r="J85" s="53" t="n">
        <f aca="false">J84/Assumptions!$C$28</f>
        <v>26666.6666666667</v>
      </c>
      <c r="K85" s="53" t="n">
        <f aca="false">K84/Assumptions!$C$28</f>
        <v>33333.3333333333</v>
      </c>
      <c r="N85" s="53" t="n">
        <f aca="false">N84/Assumptions!$C$28</f>
        <v>18666.6666666667</v>
      </c>
      <c r="O85" s="53" t="n">
        <f aca="false">O84/Assumptions!$C$28</f>
        <v>26666.6666666667</v>
      </c>
      <c r="P85" s="53" t="n">
        <f aca="false">P84/Assumptions!$C$28</f>
        <v>33333.3333333333</v>
      </c>
    </row>
    <row r="86" customFormat="false" ht="15" hidden="false" customHeight="false" outlineLevel="0" collapsed="false">
      <c r="A86" s="7" t="s">
        <v>620</v>
      </c>
      <c r="B86" s="36" t="s">
        <v>169</v>
      </c>
      <c r="C86" s="52" t="n">
        <f aca="false">C79-C85</f>
        <v>-1590000</v>
      </c>
      <c r="D86" s="52" t="n">
        <f aca="false">D79-D85</f>
        <v>-3595042.53266667</v>
      </c>
      <c r="E86" s="52" t="n">
        <f aca="false">E79-E85</f>
        <v>-3232517.79036323</v>
      </c>
      <c r="F86" s="52" t="n">
        <f aca="false">F79-F85</f>
        <v>-2109864.52752253</v>
      </c>
      <c r="H86" s="52" t="n">
        <f aca="false">H79-H85</f>
        <v>-1590000</v>
      </c>
      <c r="I86" s="52" t="n">
        <f aca="false">I79-I85</f>
        <v>-3902515.89052667</v>
      </c>
      <c r="J86" s="52" t="n">
        <f aca="false">J79-J85</f>
        <v>-3960295.87497477</v>
      </c>
      <c r="K86" s="52" t="n">
        <f aca="false">K79-K85</f>
        <v>-3607192.75104736</v>
      </c>
      <c r="M86" s="52" t="n">
        <f aca="false">M79-M85</f>
        <v>-1590000</v>
      </c>
      <c r="N86" s="52" t="n">
        <f aca="false">N79-N85</f>
        <v>-3486368.30993067</v>
      </c>
      <c r="O86" s="52" t="n">
        <f aca="false">O79-O85</f>
        <v>-2741738.5380999</v>
      </c>
      <c r="P86" s="52" t="n">
        <f aca="false">P79-P85</f>
        <v>-890574.236412336</v>
      </c>
    </row>
    <row r="87" customFormat="false" ht="15" hidden="false" customHeight="false" outlineLevel="0" collapsed="false">
      <c r="A87" s="10" t="s">
        <v>621</v>
      </c>
      <c r="B87" s="36" t="s">
        <v>127</v>
      </c>
      <c r="D87" s="46" t="n">
        <f aca="false">IF(Assumptions!$C$16=1,Assumptions!$C$17,Assumptions!$C$15)</f>
        <v>0.24</v>
      </c>
      <c r="E87" s="46" t="n">
        <f aca="false">IF(Assumptions!$C$16=1,Assumptions!$C$17,Assumptions!$C$15)</f>
        <v>0.24</v>
      </c>
      <c r="F87" s="46" t="n">
        <f aca="false">IF(Assumptions!$C$16=1,Assumptions!$C$17,Assumptions!$C$15)</f>
        <v>0.24</v>
      </c>
      <c r="I87" s="46" t="n">
        <f aca="false">IF(Assumptions!$C$16=1,Assumptions!$C$17,Assumptions!$C$15)</f>
        <v>0.24</v>
      </c>
      <c r="J87" s="46" t="n">
        <f aca="false">IF(Assumptions!$C$16=1,Assumptions!$C$17,Assumptions!$C$15)</f>
        <v>0.24</v>
      </c>
      <c r="K87" s="46" t="n">
        <f aca="false">IF(Assumptions!$C$16=1,Assumptions!$C$17,Assumptions!$C$15)</f>
        <v>0.24</v>
      </c>
      <c r="N87" s="46" t="n">
        <f aca="false">IF(Assumptions!$C$16=1,Assumptions!$C$17,Assumptions!$C$15)</f>
        <v>0.24</v>
      </c>
      <c r="O87" s="46" t="n">
        <f aca="false">IF(Assumptions!$C$16=1,Assumptions!$C$17,Assumptions!$C$15)</f>
        <v>0.24</v>
      </c>
      <c r="P87" s="46" t="n">
        <f aca="false">IF(Assumptions!$C$16=1,Assumptions!$C$17,Assumptions!$C$15)</f>
        <v>0.24</v>
      </c>
    </row>
    <row r="88" customFormat="false" ht="15" hidden="false" customHeight="false" outlineLevel="0" collapsed="false">
      <c r="A88" s="10" t="s">
        <v>622</v>
      </c>
      <c r="B88" s="36" t="s">
        <v>169</v>
      </c>
      <c r="D88" s="53" t="n">
        <f aca="false">C91</f>
        <v>1590000</v>
      </c>
      <c r="E88" s="53" t="n">
        <f aca="false">D91</f>
        <v>5185042.53266667</v>
      </c>
      <c r="F88" s="53" t="n">
        <f aca="false">E91</f>
        <v>8417560.32302989</v>
      </c>
      <c r="I88" s="53" t="n">
        <f aca="false">H91</f>
        <v>1590000</v>
      </c>
      <c r="J88" s="53" t="n">
        <f aca="false">I91</f>
        <v>5492515.89052667</v>
      </c>
      <c r="K88" s="53" t="n">
        <f aca="false">J91</f>
        <v>9452811.76550143</v>
      </c>
      <c r="N88" s="53" t="n">
        <f aca="false">M91</f>
        <v>1590000</v>
      </c>
      <c r="O88" s="53" t="n">
        <f aca="false">N91</f>
        <v>5076368.30993067</v>
      </c>
      <c r="P88" s="53" t="n">
        <f aca="false">O91</f>
        <v>7818106.84803057</v>
      </c>
    </row>
    <row r="89" customFormat="false" ht="15" hidden="false" customHeight="false" outlineLevel="0" collapsed="false">
      <c r="A89" s="10" t="s">
        <v>623</v>
      </c>
      <c r="B89" s="36" t="s">
        <v>169</v>
      </c>
      <c r="D89" s="53" t="n">
        <f aca="false">MIN(D88,MAX(D86,0))</f>
        <v>0</v>
      </c>
      <c r="E89" s="53" t="n">
        <f aca="false">MIN(E88,MAX(E86,0))</f>
        <v>0</v>
      </c>
      <c r="F89" s="53" t="n">
        <f aca="false">MIN(F88,MAX(F86,0))</f>
        <v>0</v>
      </c>
      <c r="I89" s="53" t="n">
        <f aca="false">MIN(I88,MAX(I86,0))</f>
        <v>0</v>
      </c>
      <c r="J89" s="53" t="n">
        <f aca="false">MIN(J88,MAX(J86,0))</f>
        <v>0</v>
      </c>
      <c r="K89" s="53" t="n">
        <f aca="false">MIN(K88,MAX(K86,0))</f>
        <v>0</v>
      </c>
      <c r="N89" s="53" t="n">
        <f aca="false">MIN(N88,MAX(N86,0))</f>
        <v>0</v>
      </c>
      <c r="O89" s="53" t="n">
        <f aca="false">MIN(O88,MAX(O86,0))</f>
        <v>0</v>
      </c>
      <c r="P89" s="53" t="n">
        <f aca="false">MIN(P88,MAX(P86,0))</f>
        <v>0</v>
      </c>
    </row>
    <row r="90" customFormat="false" ht="15" hidden="false" customHeight="false" outlineLevel="0" collapsed="false">
      <c r="A90" s="10" t="s">
        <v>624</v>
      </c>
      <c r="B90" s="36" t="s">
        <v>169</v>
      </c>
      <c r="D90" s="53" t="n">
        <f aca="false">MAX(-D86,0)</f>
        <v>3595042.53266667</v>
      </c>
      <c r="E90" s="53" t="n">
        <f aca="false">MAX(-E86,0)</f>
        <v>3232517.79036323</v>
      </c>
      <c r="F90" s="53" t="n">
        <f aca="false">MAX(-F86,0)</f>
        <v>2109864.52752253</v>
      </c>
      <c r="I90" s="53" t="n">
        <f aca="false">MAX(-I86,0)</f>
        <v>3902515.89052667</v>
      </c>
      <c r="J90" s="53" t="n">
        <f aca="false">MAX(-J86,0)</f>
        <v>3960295.87497477</v>
      </c>
      <c r="K90" s="53" t="n">
        <f aca="false">MAX(-K86,0)</f>
        <v>3607192.75104736</v>
      </c>
      <c r="N90" s="53" t="n">
        <f aca="false">MAX(-N86,0)</f>
        <v>3486368.30993067</v>
      </c>
      <c r="O90" s="53" t="n">
        <f aca="false">MAX(-O86,0)</f>
        <v>2741738.5380999</v>
      </c>
      <c r="P90" s="53" t="n">
        <f aca="false">MAX(-P86,0)</f>
        <v>890574.236412336</v>
      </c>
    </row>
    <row r="91" customFormat="false" ht="15" hidden="false" customHeight="false" outlineLevel="0" collapsed="false">
      <c r="A91" s="10" t="s">
        <v>625</v>
      </c>
      <c r="B91" s="36" t="s">
        <v>169</v>
      </c>
      <c r="C91" s="53" t="n">
        <f aca="false">MAX(-C86,0)</f>
        <v>1590000</v>
      </c>
      <c r="D91" s="53" t="n">
        <f aca="false">D88-D89+D90</f>
        <v>5185042.53266667</v>
      </c>
      <c r="E91" s="53" t="n">
        <f aca="false">E88-E89+E90</f>
        <v>8417560.32302989</v>
      </c>
      <c r="F91" s="53" t="n">
        <f aca="false">F88-F89+F90</f>
        <v>10527424.8505524</v>
      </c>
      <c r="H91" s="53" t="n">
        <f aca="false">MAX(-H86,0)</f>
        <v>1590000</v>
      </c>
      <c r="I91" s="53" t="n">
        <f aca="false">I88-I89+I90</f>
        <v>5492515.89052667</v>
      </c>
      <c r="J91" s="53" t="n">
        <f aca="false">J88-J89+J90</f>
        <v>9452811.76550143</v>
      </c>
      <c r="K91" s="53" t="n">
        <f aca="false">K88-K89+K90</f>
        <v>13060004.5165488</v>
      </c>
      <c r="M91" s="53" t="n">
        <f aca="false">MAX(-M86,0)</f>
        <v>1590000</v>
      </c>
      <c r="N91" s="53" t="n">
        <f aca="false">N88-N89+N90</f>
        <v>5076368.30993067</v>
      </c>
      <c r="O91" s="53" t="n">
        <f aca="false">O88-O89+O90</f>
        <v>7818106.84803057</v>
      </c>
      <c r="P91" s="53" t="n">
        <f aca="false">P88-P89+P90</f>
        <v>8708681.0844429</v>
      </c>
    </row>
    <row r="92" customFormat="false" ht="15" hidden="false" customHeight="false" outlineLevel="0" collapsed="false">
      <c r="A92" s="10" t="s">
        <v>626</v>
      </c>
      <c r="B92" s="36" t="s">
        <v>169</v>
      </c>
      <c r="D92" s="53" t="n">
        <f aca="false">MAX(D86,0)-D89</f>
        <v>0</v>
      </c>
      <c r="E92" s="53" t="n">
        <f aca="false">MAX(E86,0)-E89</f>
        <v>0</v>
      </c>
      <c r="F92" s="53" t="n">
        <f aca="false">MAX(F86,0)-F89</f>
        <v>0</v>
      </c>
      <c r="I92" s="53" t="n">
        <f aca="false">MAX(I86,0)-I89</f>
        <v>0</v>
      </c>
      <c r="J92" s="53" t="n">
        <f aca="false">MAX(J86,0)-J89</f>
        <v>0</v>
      </c>
      <c r="K92" s="53" t="n">
        <f aca="false">MAX(K86,0)-K89</f>
        <v>0</v>
      </c>
      <c r="N92" s="53" t="n">
        <f aca="false">MAX(N86,0)-N89</f>
        <v>0</v>
      </c>
      <c r="O92" s="53" t="n">
        <f aca="false">MAX(O86,0)-O89</f>
        <v>0</v>
      </c>
      <c r="P92" s="53" t="n">
        <f aca="false">MAX(P86,0)-P89</f>
        <v>0</v>
      </c>
    </row>
    <row r="93" customFormat="false" ht="15" hidden="false" customHeight="false" outlineLevel="0" collapsed="false">
      <c r="A93" s="10" t="s">
        <v>627</v>
      </c>
      <c r="B93" s="36" t="s">
        <v>169</v>
      </c>
      <c r="D93" s="53" t="n">
        <f aca="false">D92*D87</f>
        <v>0</v>
      </c>
      <c r="E93" s="53" t="n">
        <f aca="false">E92*E87</f>
        <v>0</v>
      </c>
      <c r="F93" s="53" t="n">
        <f aca="false">F92*F87</f>
        <v>0</v>
      </c>
      <c r="I93" s="53" t="n">
        <f aca="false">I92*I87</f>
        <v>0</v>
      </c>
      <c r="J93" s="53" t="n">
        <f aca="false">J92*J87</f>
        <v>0</v>
      </c>
      <c r="K93" s="53" t="n">
        <f aca="false">K92*K87</f>
        <v>0</v>
      </c>
      <c r="N93" s="53" t="n">
        <f aca="false">N92*N87</f>
        <v>0</v>
      </c>
      <c r="O93" s="53" t="n">
        <f aca="false">O92*O87</f>
        <v>0</v>
      </c>
      <c r="P93" s="53" t="n">
        <f aca="false">P92*P87</f>
        <v>0</v>
      </c>
    </row>
    <row r="94" customFormat="false" ht="15" hidden="false" customHeight="false" outlineLevel="0" collapsed="false">
      <c r="A94" s="76" t="s">
        <v>628</v>
      </c>
      <c r="B94" s="77" t="s">
        <v>169</v>
      </c>
      <c r="C94" s="79" t="n">
        <f aca="false">C86-C93</f>
        <v>-1590000</v>
      </c>
      <c r="D94" s="79" t="n">
        <f aca="false">D86-D93</f>
        <v>-3595042.53266667</v>
      </c>
      <c r="E94" s="79" t="n">
        <f aca="false">E86-E93</f>
        <v>-3232517.79036323</v>
      </c>
      <c r="F94" s="79" t="n">
        <f aca="false">F86-F93</f>
        <v>-2109864.52752253</v>
      </c>
      <c r="H94" s="79" t="n">
        <f aca="false">H86-H93</f>
        <v>-1590000</v>
      </c>
      <c r="I94" s="79" t="n">
        <f aca="false">I86-I93</f>
        <v>-3902515.89052667</v>
      </c>
      <c r="J94" s="79" t="n">
        <f aca="false">J86-J93</f>
        <v>-3960295.87497477</v>
      </c>
      <c r="K94" s="79" t="n">
        <f aca="false">K86-K93</f>
        <v>-3607192.75104736</v>
      </c>
      <c r="M94" s="79" t="n">
        <f aca="false">M86-M93</f>
        <v>-1590000</v>
      </c>
      <c r="N94" s="79" t="n">
        <f aca="false">N86-N93</f>
        <v>-3486368.30993067</v>
      </c>
      <c r="O94" s="79" t="n">
        <f aca="false">O86-O93</f>
        <v>-2741738.5380999</v>
      </c>
      <c r="P94" s="79" t="n">
        <f aca="false">P86-P93</f>
        <v>-890574.236412336</v>
      </c>
    </row>
    <row r="96" customFormat="false" ht="15" hidden="false" customHeight="false" outlineLevel="0" collapsed="false">
      <c r="A96" s="4" t="s">
        <v>629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customFormat="false" ht="15" hidden="false" customHeight="false" outlineLevel="0" collapsed="false">
      <c r="A97" s="10" t="s">
        <v>630</v>
      </c>
      <c r="B97" s="36" t="s">
        <v>169</v>
      </c>
      <c r="C97" s="53" t="n">
        <v>0</v>
      </c>
      <c r="D97" s="53" t="n">
        <f aca="false">D49*Assumptions!$C$24/365</f>
        <v>90353.095890411</v>
      </c>
      <c r="E97" s="53" t="n">
        <f aca="false">E49*Assumptions!$C$24/365</f>
        <v>326165.141865206</v>
      </c>
      <c r="F97" s="53" t="n">
        <f aca="false">F49*Assumptions!$C$24/365</f>
        <v>727839.8022195</v>
      </c>
      <c r="H97" s="53" t="n">
        <v>0</v>
      </c>
      <c r="I97" s="53" t="n">
        <f aca="false">I49*Assumptions!$C$24/365</f>
        <v>58501.1638356164</v>
      </c>
      <c r="J97" s="53" t="n">
        <f aca="false">J49*Assumptions!$C$24/365</f>
        <v>202452.738396598</v>
      </c>
      <c r="K97" s="53" t="n">
        <f aca="false">K49*Assumptions!$C$24/365</f>
        <v>439891.414305278</v>
      </c>
      <c r="M97" s="53" t="n">
        <v>0</v>
      </c>
      <c r="N97" s="53" t="n">
        <f aca="false">N49*Assumptions!$C$24/365</f>
        <v>120388.765808219</v>
      </c>
      <c r="O97" s="53" t="n">
        <f aca="false">O49*Assumptions!$C$24/365</f>
        <v>444650.22324015</v>
      </c>
      <c r="P97" s="53" t="n">
        <f aca="false">P49*Assumptions!$C$24/365</f>
        <v>1006094.22005588</v>
      </c>
    </row>
    <row r="98" customFormat="false" ht="15" hidden="false" customHeight="false" outlineLevel="0" collapsed="false">
      <c r="A98" s="10" t="s">
        <v>631</v>
      </c>
      <c r="B98" s="36" t="s">
        <v>169</v>
      </c>
      <c r="C98" s="53" t="n">
        <v>0</v>
      </c>
      <c r="D98" s="53" t="n">
        <f aca="false">D46*Assumptions!$C$25</f>
        <v>86112</v>
      </c>
      <c r="E98" s="53" t="n">
        <f aca="false">E46*Assumptions!$C$25</f>
        <v>380617.81992</v>
      </c>
      <c r="F98" s="53" t="n">
        <f aca="false">F46*Assumptions!$C$25</f>
        <v>927373.032542156</v>
      </c>
      <c r="H98" s="53" t="n">
        <v>0</v>
      </c>
      <c r="I98" s="53" t="n">
        <f aca="false">I46*Assumptions!$C$25</f>
        <v>50375.52</v>
      </c>
      <c r="J98" s="53" t="n">
        <f aca="false">J46*Assumptions!$C$25</f>
        <v>221058.12297816</v>
      </c>
      <c r="K98" s="53" t="n">
        <f aca="false">K46*Assumptions!$C$25</f>
        <v>533919.02592261</v>
      </c>
      <c r="M98" s="53" t="n">
        <v>0</v>
      </c>
      <c r="N98" s="53" t="n">
        <f aca="false">N46*Assumptions!$C$25</f>
        <v>120901.248</v>
      </c>
      <c r="O98" s="53" t="n">
        <f aca="false">O46*Assumptions!$C$25</f>
        <v>536311.381177728</v>
      </c>
      <c r="P98" s="53" t="n">
        <f aca="false">P46*Assumptions!$C$25</f>
        <v>1312436.62633499</v>
      </c>
    </row>
    <row r="99" customFormat="false" ht="15" hidden="false" customHeight="false" outlineLevel="0" collapsed="false">
      <c r="A99" s="10" t="s">
        <v>632</v>
      </c>
      <c r="B99" s="36" t="s">
        <v>169</v>
      </c>
      <c r="C99" s="53" t="n">
        <v>0</v>
      </c>
      <c r="D99" s="53" t="n">
        <f aca="false">(D53+D71+D72+D73)*Assumptions!$C$26/365</f>
        <v>77205.514520548</v>
      </c>
      <c r="E99" s="53" t="n">
        <f aca="false">(E53+E71+E72+E73)*Assumptions!$C$26/365</f>
        <v>119366.840018762</v>
      </c>
      <c r="F99" s="53" t="n">
        <f aca="false">(F53+F71+F72+F73)*Assumptions!$C$26/365</f>
        <v>166818.004571526</v>
      </c>
      <c r="H99" s="53" t="n">
        <v>0</v>
      </c>
      <c r="I99" s="53" t="n">
        <f aca="false">(I53+I71+I72+I73)*Assumptions!$C$26/365</f>
        <v>79486.0479123288</v>
      </c>
      <c r="J99" s="53" t="n">
        <f aca="false">(J53+J71+J72+J73)*Assumptions!$C$26/365</f>
        <v>118289.41635859</v>
      </c>
      <c r="K99" s="53" t="n">
        <f aca="false">(K53+K71+K72+K73)*Assumptions!$C$26/365</f>
        <v>157806.997187084</v>
      </c>
      <c r="M99" s="53" t="n">
        <v>0</v>
      </c>
      <c r="N99" s="53" t="n">
        <f aca="false">(N53+N71+N72+N73)*Assumptions!$C$26/365</f>
        <v>78578.0218389041</v>
      </c>
      <c r="O99" s="53" t="n">
        <f aca="false">(O53+O71+O72+O73)*Assumptions!$C$26/365</f>
        <v>125509.270928656</v>
      </c>
      <c r="P99" s="53" t="n">
        <f aca="false">(P53+P71+P72+P73)*Assumptions!$C$26/365</f>
        <v>182009.554573216</v>
      </c>
    </row>
    <row r="100" customFormat="false" ht="15" hidden="false" customHeight="false" outlineLevel="0" collapsed="false">
      <c r="A100" s="10" t="s">
        <v>633</v>
      </c>
      <c r="B100" s="36" t="s">
        <v>169</v>
      </c>
      <c r="C100" s="53" t="n">
        <f aca="false">C97-C98-C99</f>
        <v>0</v>
      </c>
      <c r="D100" s="53" t="n">
        <f aca="false">D97-D98-D99</f>
        <v>-72964.418630137</v>
      </c>
      <c r="E100" s="53" t="n">
        <f aca="false">E97-E98-E99</f>
        <v>-173819.518073556</v>
      </c>
      <c r="F100" s="53" t="n">
        <f aca="false">F97-F98-F99</f>
        <v>-366351.234894182</v>
      </c>
      <c r="H100" s="53" t="n">
        <f aca="false">H97-H98-H99</f>
        <v>0</v>
      </c>
      <c r="I100" s="53" t="n">
        <f aca="false">I97-I98-I99</f>
        <v>-71360.4040767123</v>
      </c>
      <c r="J100" s="53" t="n">
        <f aca="false">J97-J98-J99</f>
        <v>-136894.800940152</v>
      </c>
      <c r="K100" s="53" t="n">
        <f aca="false">K97-K98-K99</f>
        <v>-251834.608804416</v>
      </c>
      <c r="M100" s="53" t="n">
        <f aca="false">M97-M98-M99</f>
        <v>0</v>
      </c>
      <c r="N100" s="53" t="n">
        <f aca="false">N97-N98-N99</f>
        <v>-79090.5040306849</v>
      </c>
      <c r="O100" s="53" t="n">
        <f aca="false">O97-O98-O99</f>
        <v>-217170.428866234</v>
      </c>
      <c r="P100" s="53" t="n">
        <f aca="false">P97-P98-P99</f>
        <v>-488351.960852322</v>
      </c>
    </row>
    <row r="101" customFormat="false" ht="15" hidden="false" customHeight="false" outlineLevel="0" collapsed="false">
      <c r="A101" s="10" t="s">
        <v>634</v>
      </c>
      <c r="B101" s="36" t="s">
        <v>169</v>
      </c>
      <c r="D101" s="53" t="n">
        <f aca="false">D100-C100</f>
        <v>-72964.418630137</v>
      </c>
      <c r="E101" s="53" t="n">
        <f aca="false">E100-D100</f>
        <v>-100855.099443419</v>
      </c>
      <c r="F101" s="53" t="n">
        <f aca="false">F100-E100</f>
        <v>-192531.716820626</v>
      </c>
      <c r="I101" s="53" t="n">
        <f aca="false">I100-H100</f>
        <v>-71360.4040767123</v>
      </c>
      <c r="J101" s="53" t="n">
        <f aca="false">J100-I100</f>
        <v>-65534.3968634398</v>
      </c>
      <c r="K101" s="53" t="n">
        <f aca="false">K100-J100</f>
        <v>-114939.807864264</v>
      </c>
      <c r="N101" s="53" t="n">
        <f aca="false">N100-M100</f>
        <v>-79090.5040306849</v>
      </c>
      <c r="O101" s="53" t="n">
        <f aca="false">O100-N100</f>
        <v>-138079.924835549</v>
      </c>
      <c r="P101" s="53" t="n">
        <f aca="false">P100-O100</f>
        <v>-271181.531986088</v>
      </c>
    </row>
    <row r="102" customFormat="false" ht="15" hidden="false" customHeight="false" outlineLevel="0" collapsed="false">
      <c r="A102" s="76" t="s">
        <v>635</v>
      </c>
      <c r="B102" s="77" t="s">
        <v>169</v>
      </c>
      <c r="C102" s="79" t="n">
        <f aca="false">C79-C93-C101-C83</f>
        <v>-1590000</v>
      </c>
      <c r="D102" s="79" t="n">
        <f aca="false">D79-D93-D101-D83</f>
        <v>-3559411.44736986</v>
      </c>
      <c r="E102" s="79" t="n">
        <f aca="false">E79-E93-E101-E83</f>
        <v>-3128996.02425314</v>
      </c>
      <c r="F102" s="79" t="n">
        <f aca="false">F79-F93-F101-F83</f>
        <v>-1903999.47736857</v>
      </c>
      <c r="H102" s="79" t="n">
        <f aca="false">H79-H93-H101-H83</f>
        <v>-1590000</v>
      </c>
      <c r="I102" s="79" t="n">
        <f aca="false">I79-I93-I101-I83</f>
        <v>-3868488.81978329</v>
      </c>
      <c r="J102" s="79" t="n">
        <f aca="false">J79-J93-J101-J83</f>
        <v>-3892094.81144466</v>
      </c>
      <c r="K102" s="79" t="n">
        <f aca="false">K79-K93-K101-K83</f>
        <v>-3478919.60984976</v>
      </c>
      <c r="M102" s="79" t="n">
        <f aca="false">M79-M93-M101-M83</f>
        <v>-1590000</v>
      </c>
      <c r="N102" s="79" t="n">
        <f aca="false">N79-N93-N101-N83</f>
        <v>-3444611.13923332</v>
      </c>
      <c r="O102" s="79" t="n">
        <f aca="false">O79-O93-O101-O83</f>
        <v>-2600991.94659769</v>
      </c>
      <c r="P102" s="79" t="n">
        <f aca="false">P79-P93-P101-P83</f>
        <v>-606059.371092914</v>
      </c>
    </row>
    <row r="103" customFormat="false" ht="15" hidden="false" customHeight="false" outlineLevel="0" collapsed="false">
      <c r="A103" s="7" t="s">
        <v>104</v>
      </c>
      <c r="B103" s="36" t="s">
        <v>169</v>
      </c>
      <c r="C103" s="52" t="n">
        <f aca="false">C102</f>
        <v>-1590000</v>
      </c>
      <c r="D103" s="52" t="n">
        <f aca="false">C103+D102</f>
        <v>-5149411.44736986</v>
      </c>
      <c r="E103" s="52" t="n">
        <f aca="false">D103+E102</f>
        <v>-8278407.471623</v>
      </c>
      <c r="F103" s="52" t="n">
        <f aca="false">E103+F102</f>
        <v>-10182406.9489916</v>
      </c>
      <c r="H103" s="52" t="n">
        <f aca="false">H102</f>
        <v>-1590000</v>
      </c>
      <c r="I103" s="52" t="n">
        <f aca="false">H103+I102</f>
        <v>-5458488.81978329</v>
      </c>
      <c r="J103" s="52" t="n">
        <f aca="false">I103+J102</f>
        <v>-9350583.63122795</v>
      </c>
      <c r="K103" s="52" t="n">
        <f aca="false">J103+K102</f>
        <v>-12829503.2410777</v>
      </c>
      <c r="M103" s="52" t="n">
        <f aca="false">M102</f>
        <v>-1590000</v>
      </c>
      <c r="N103" s="52" t="n">
        <f aca="false">M103+N102</f>
        <v>-5034611.13923332</v>
      </c>
      <c r="O103" s="52" t="n">
        <f aca="false">N103+O102</f>
        <v>-7635603.085831</v>
      </c>
      <c r="P103" s="52" t="n">
        <f aca="false">O103+P102</f>
        <v>-8241662.45692392</v>
      </c>
    </row>
    <row r="105" customFormat="false" ht="15" hidden="false" customHeight="false" outlineLevel="0" collapsed="false">
      <c r="A105" s="4" t="s">
        <v>636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customFormat="false" ht="15" hidden="false" customHeight="false" outlineLevel="0" collapsed="false">
      <c r="A106" s="10" t="s">
        <v>637</v>
      </c>
      <c r="B106" s="36" t="s">
        <v>137</v>
      </c>
      <c r="C106" s="54" t="n">
        <f aca="false">1/(1+Assumptions!$C$8)^0</f>
        <v>1</v>
      </c>
      <c r="D106" s="54" t="n">
        <f aca="false">1/(1+Assumptions!$C$8)^1</f>
        <v>0.892857142857143</v>
      </c>
      <c r="E106" s="54" t="n">
        <f aca="false">1/(1+Assumptions!$C$8)^2</f>
        <v>0.79719387755102</v>
      </c>
      <c r="F106" s="54" t="n">
        <f aca="false">1/(1+Assumptions!$C$8)^3</f>
        <v>0.711780247813411</v>
      </c>
      <c r="H106" s="54" t="n">
        <f aca="false">1/(1+Assumptions!$C$8)^0</f>
        <v>1</v>
      </c>
      <c r="I106" s="54" t="n">
        <f aca="false">1/(1+Assumptions!$C$8)^1</f>
        <v>0.892857142857143</v>
      </c>
      <c r="J106" s="54" t="n">
        <f aca="false">1/(1+Assumptions!$C$8)^2</f>
        <v>0.79719387755102</v>
      </c>
      <c r="K106" s="54" t="n">
        <f aca="false">1/(1+Assumptions!$C$8)^3</f>
        <v>0.711780247813411</v>
      </c>
      <c r="M106" s="54" t="n">
        <f aca="false">1/(1+Assumptions!$C$8)^0</f>
        <v>1</v>
      </c>
      <c r="N106" s="54" t="n">
        <f aca="false">1/(1+Assumptions!$C$8)^1</f>
        <v>0.892857142857143</v>
      </c>
      <c r="O106" s="54" t="n">
        <f aca="false">1/(1+Assumptions!$C$8)^2</f>
        <v>0.79719387755102</v>
      </c>
      <c r="P106" s="54" t="n">
        <f aca="false">1/(1+Assumptions!$C$8)^3</f>
        <v>0.711780247813411</v>
      </c>
    </row>
    <row r="107" customFormat="false" ht="15" hidden="false" customHeight="false" outlineLevel="0" collapsed="false">
      <c r="A107" s="10" t="s">
        <v>638</v>
      </c>
      <c r="B107" s="36" t="s">
        <v>169</v>
      </c>
      <c r="C107" s="53" t="n">
        <f aca="false">C102*C106</f>
        <v>-1590000</v>
      </c>
      <c r="D107" s="53" t="n">
        <f aca="false">D102*D106</f>
        <v>-3178045.93515166</v>
      </c>
      <c r="E107" s="53" t="n">
        <f aca="false">E102*E106</f>
        <v>-2494416.47341609</v>
      </c>
      <c r="F107" s="53" t="n">
        <f aca="false">F102*F106</f>
        <v>-1355229.219838</v>
      </c>
      <c r="H107" s="53" t="n">
        <f aca="false">H102*H106</f>
        <v>-1590000</v>
      </c>
      <c r="I107" s="53" t="n">
        <f aca="false">I102*I106</f>
        <v>-3454007.87480651</v>
      </c>
      <c r="J107" s="53" t="n">
        <f aca="false">J102*J106</f>
        <v>-3102754.15453178</v>
      </c>
      <c r="K107" s="53" t="n">
        <f aca="false">K102*K106</f>
        <v>-2476226.2620218</v>
      </c>
      <c r="M107" s="53" t="n">
        <f aca="false">M102*M106</f>
        <v>-1590000</v>
      </c>
      <c r="N107" s="53" t="n">
        <f aca="false">N102*N106</f>
        <v>-3075545.66002975</v>
      </c>
      <c r="O107" s="53" t="n">
        <f aca="false">O102*O106</f>
        <v>-2073494.85538719</v>
      </c>
      <c r="P107" s="53" t="n">
        <f aca="false">P102*P106</f>
        <v>-431381.089346154</v>
      </c>
    </row>
    <row r="109" customFormat="false" ht="15" hidden="false" customHeight="false" outlineLevel="0" collapsed="false">
      <c r="A109" s="4" t="s">
        <v>639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customFormat="false" ht="15" hidden="false" customHeight="false" outlineLevel="0" collapsed="false">
      <c r="A110" s="10" t="s">
        <v>640</v>
      </c>
      <c r="B110" s="36" t="s">
        <v>169</v>
      </c>
      <c r="F110" s="53" t="n">
        <f aca="false">F50*Assumptions!$D$69*(1-Assumptions!$C$15)*(1-Assumptions!$C$14)</f>
        <v>882791.218384299</v>
      </c>
      <c r="K110" s="53" t="n">
        <f aca="false">K50*Assumptions!$D$69*(1-Assumptions!$C$15)*(1-Assumptions!$C$14)</f>
        <v>506625.690478364</v>
      </c>
      <c r="P110" s="53" t="n">
        <f aca="false">P50*Assumptions!$D$69*(1-Assumptions!$C$15)*(1-Assumptions!$C$14)</f>
        <v>1251338.15546761</v>
      </c>
    </row>
    <row r="111" customFormat="false" ht="15" hidden="false" customHeight="false" outlineLevel="0" collapsed="false">
      <c r="A111" s="10" t="s">
        <v>641</v>
      </c>
      <c r="B111" s="36" t="s">
        <v>169</v>
      </c>
      <c r="F111" s="53" t="n">
        <f aca="false">F110*(1+Assumptions!$C$9)/(Assumptions!$C$8-Assumptions!$C$9)*(1-Assumptions!$C$10)</f>
        <v>8082444.04387403</v>
      </c>
      <c r="K111" s="53" t="n">
        <f aca="false">K110*(1+Assumptions!$C$9)/(Assumptions!$C$8-Assumptions!$C$9)*(1-Assumptions!$C$10)</f>
        <v>4638439.65504635</v>
      </c>
      <c r="P111" s="53" t="n">
        <f aca="false">P110*(1+Assumptions!$C$9)/(Assumptions!$C$8-Assumptions!$C$9)*(1-Assumptions!$C$10)</f>
        <v>11456696.0011701</v>
      </c>
    </row>
    <row r="112" customFormat="false" ht="15" hidden="false" customHeight="false" outlineLevel="0" collapsed="false">
      <c r="A112" s="10" t="s">
        <v>642</v>
      </c>
      <c r="B112" s="36" t="s">
        <v>169</v>
      </c>
      <c r="F112" s="53" t="n">
        <f aca="false">F111*F106</f>
        <v>5752924.02448668</v>
      </c>
      <c r="K112" s="53" t="n">
        <f aca="false">K111*K106</f>
        <v>3301549.72713645</v>
      </c>
      <c r="P112" s="53" t="n">
        <f aca="false">P111*P106</f>
        <v>8154649.91883579</v>
      </c>
    </row>
    <row r="114" customFormat="false" ht="15" hidden="false" customHeight="false" outlineLevel="0" collapsed="false">
      <c r="A114" s="4" t="s">
        <v>643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 customFormat="false" ht="15" hidden="false" customHeight="false" outlineLevel="0" collapsed="false">
      <c r="A115" s="10" t="s">
        <v>644</v>
      </c>
      <c r="B115" s="36" t="s">
        <v>127</v>
      </c>
      <c r="D115" s="46" t="n">
        <f aca="false">IF(E50=0,0,MIN(Assumptions!$C$13,F50/E50-1))*Assumptions!$C$12</f>
        <v>0.36</v>
      </c>
      <c r="E115" s="46" t="n">
        <f aca="false">D115*Assumptions!$C$12</f>
        <v>0.216</v>
      </c>
      <c r="F115" s="46" t="n">
        <f aca="false">E115*Assumptions!$C$12</f>
        <v>0.1296</v>
      </c>
      <c r="I115" s="46" t="n">
        <f aca="false">IF(J50=0,0,MIN(Assumptions!$C$13,K50/J50-1))*Assumptions!$C$12</f>
        <v>0.36</v>
      </c>
      <c r="J115" s="46" t="n">
        <f aca="false">I115*Assumptions!$C$12</f>
        <v>0.216</v>
      </c>
      <c r="K115" s="46" t="n">
        <f aca="false">J115*Assumptions!$C$12</f>
        <v>0.1296</v>
      </c>
      <c r="N115" s="46" t="n">
        <f aca="false">IF(O50=0,0,MIN(Assumptions!$C$13,P50/O50-1))*Assumptions!$C$12</f>
        <v>0.36</v>
      </c>
      <c r="O115" s="46" t="n">
        <f aca="false">N115*Assumptions!$C$12</f>
        <v>0.216</v>
      </c>
      <c r="P115" s="46" t="n">
        <f aca="false">O115*Assumptions!$C$12</f>
        <v>0.1296</v>
      </c>
    </row>
    <row r="116" customFormat="false" ht="15" hidden="false" customHeight="false" outlineLevel="0" collapsed="false">
      <c r="A116" s="10" t="s">
        <v>645</v>
      </c>
      <c r="B116" s="36" t="s">
        <v>169</v>
      </c>
      <c r="D116" s="53" t="n">
        <f aca="false">F50*(1+D115)</f>
        <v>6750989.97414893</v>
      </c>
      <c r="E116" s="53" t="n">
        <f aca="false">D116*(1+E115)</f>
        <v>8209203.8085651</v>
      </c>
      <c r="F116" s="53" t="n">
        <f aca="false">E116*(1+F115)</f>
        <v>9273116.62215514</v>
      </c>
      <c r="I116" s="53" t="n">
        <f aca="false">K50*(1+I115)</f>
        <v>3874330.51647872</v>
      </c>
      <c r="J116" s="53" t="n">
        <f aca="false">I116*(1+J115)</f>
        <v>4711185.90803812</v>
      </c>
      <c r="K116" s="53" t="n">
        <f aca="false">J116*(1+K115)</f>
        <v>5321755.60171986</v>
      </c>
      <c r="N116" s="53" t="n">
        <f aca="false">P50*(1+N115)</f>
        <v>9569387.60366594</v>
      </c>
      <c r="O116" s="53" t="n">
        <f aca="false">N116*(1+O115)</f>
        <v>11636375.3260578</v>
      </c>
      <c r="P116" s="53" t="n">
        <f aca="false">O116*(1+P115)</f>
        <v>13144449.5683149</v>
      </c>
    </row>
    <row r="117" customFormat="false" ht="15" hidden="false" customHeight="false" outlineLevel="0" collapsed="false">
      <c r="A117" s="10" t="s">
        <v>646</v>
      </c>
      <c r="B117" s="36" t="s">
        <v>169</v>
      </c>
      <c r="D117" s="53" t="n">
        <f aca="false">(F50+D116)/2</f>
        <v>5857476.59521746</v>
      </c>
      <c r="E117" s="53" t="n">
        <f aca="false">(D116+E116)/2</f>
        <v>7480096.89135702</v>
      </c>
      <c r="F117" s="53" t="n">
        <f aca="false">(E116+F116)/2</f>
        <v>8741160.21536012</v>
      </c>
      <c r="I117" s="53" t="n">
        <f aca="false">(K50+I116)/2</f>
        <v>3361551.477533</v>
      </c>
      <c r="J117" s="53" t="n">
        <f aca="false">(I116+J116)/2</f>
        <v>4292758.21225842</v>
      </c>
      <c r="K117" s="53" t="n">
        <f aca="false">(J116+K116)/2</f>
        <v>5016470.75487899</v>
      </c>
      <c r="N117" s="53" t="n">
        <f aca="false">(P50+N116)/2</f>
        <v>8302851.0090631</v>
      </c>
      <c r="O117" s="53" t="n">
        <f aca="false">(N116+O116)/2</f>
        <v>10602881.4648619</v>
      </c>
      <c r="P117" s="53" t="n">
        <f aca="false">(O116+P116)/2</f>
        <v>12390412.4471863</v>
      </c>
    </row>
    <row r="118" customFormat="false" ht="15" hidden="false" customHeight="false" outlineLevel="0" collapsed="false">
      <c r="A118" s="10" t="s">
        <v>647</v>
      </c>
      <c r="B118" s="36" t="s">
        <v>127</v>
      </c>
      <c r="D118" s="46" t="n">
        <f aca="false">IF(F50=0,0,F79/F50)+(Assumptions!$D$69-IF(F50=0,0,F79/F50))*1/3</f>
        <v>-0.192214152779701</v>
      </c>
      <c r="E118" s="46" t="n">
        <f aca="false">IF(F50=0,0,F79/F50)+(Assumptions!$D$69-IF(F50=0,0,F79/F50))*2/3</f>
        <v>0.0338929236101495</v>
      </c>
      <c r="F118" s="46" t="n">
        <f aca="false">IF(F50=0,0,F79/F50)+(Assumptions!$D$69-IF(F50=0,0,F79/F50))*3/3</f>
        <v>0.26</v>
      </c>
      <c r="I118" s="46" t="n">
        <f aca="false">IF(K50=0,0,K79/K50)+(Assumptions!$D$69-IF(K50=0,0,K79/K50))*1/3</f>
        <v>-0.74968407615511</v>
      </c>
      <c r="J118" s="46" t="n">
        <f aca="false">IF(K50=0,0,K79/K50)+(Assumptions!$D$69-IF(K50=0,0,K79/K50))*2/3</f>
        <v>-0.244842038077555</v>
      </c>
      <c r="K118" s="46" t="n">
        <f aca="false">IF(K50=0,0,K79/K50)+(Assumptions!$D$69-IF(K50=0,0,K79/K50))*3/3</f>
        <v>0.26</v>
      </c>
      <c r="N118" s="46" t="n">
        <f aca="false">IF(P50=0,0,P79/P50)+(Assumptions!$D$69-IF(P50=0,0,P79/P50))*1/3</f>
        <v>0.00544603016248624</v>
      </c>
      <c r="O118" s="46" t="n">
        <f aca="false">IF(P50=0,0,P79/P50)+(Assumptions!$D$69-IF(P50=0,0,P79/P50))*2/3</f>
        <v>0.132723015081243</v>
      </c>
      <c r="P118" s="46" t="n">
        <f aca="false">IF(P50=0,0,P79/P50)+(Assumptions!$D$69-IF(P50=0,0,P79/P50))*3/3</f>
        <v>0.26</v>
      </c>
    </row>
    <row r="119" customFormat="false" ht="15" hidden="false" customHeight="false" outlineLevel="0" collapsed="false">
      <c r="A119" s="7" t="s">
        <v>648</v>
      </c>
      <c r="B119" s="36" t="s">
        <v>169</v>
      </c>
      <c r="D119" s="52" t="n">
        <f aca="false">D117*D118</f>
        <v>-1125889.90117665</v>
      </c>
      <c r="E119" s="52" t="n">
        <f aca="false">E117*E118</f>
        <v>253522.35253528</v>
      </c>
      <c r="F119" s="52" t="n">
        <f aca="false">F117*F118</f>
        <v>2272701.65599363</v>
      </c>
      <c r="I119" s="52" t="n">
        <f aca="false">I117*I118</f>
        <v>-2520101.61388217</v>
      </c>
      <c r="J119" s="52" t="n">
        <f aca="false">J117*J118</f>
        <v>-1051047.66966351</v>
      </c>
      <c r="K119" s="52" t="n">
        <f aca="false">K117*K118</f>
        <v>1304282.39626854</v>
      </c>
      <c r="N119" s="52" t="n">
        <f aca="false">N117*N118</f>
        <v>45217.5770299869</v>
      </c>
      <c r="O119" s="52" t="n">
        <f aca="false">O117*O118</f>
        <v>1407246.39656549</v>
      </c>
      <c r="P119" s="52" t="n">
        <f aca="false">P117*P118</f>
        <v>3221507.23626845</v>
      </c>
    </row>
    <row r="120" customFormat="false" ht="15" hidden="false" customHeight="false" outlineLevel="0" collapsed="false">
      <c r="A120" s="10" t="s">
        <v>649</v>
      </c>
      <c r="B120" s="36" t="s">
        <v>169</v>
      </c>
      <c r="D120" s="53" t="n">
        <f aca="false">F91</f>
        <v>10527424.8505524</v>
      </c>
      <c r="E120" s="53" t="n">
        <f aca="false">D122</f>
        <v>11653314.7517291</v>
      </c>
      <c r="F120" s="53" t="n">
        <f aca="false">E122</f>
        <v>11399792.3991938</v>
      </c>
      <c r="I120" s="53" t="n">
        <f aca="false">K91</f>
        <v>13060004.5165488</v>
      </c>
      <c r="J120" s="53" t="n">
        <f aca="false">I122</f>
        <v>15580106.130431</v>
      </c>
      <c r="K120" s="53" t="n">
        <f aca="false">J122</f>
        <v>16631153.8000945</v>
      </c>
      <c r="N120" s="53" t="n">
        <f aca="false">P91</f>
        <v>8708681.0844429</v>
      </c>
      <c r="O120" s="53" t="n">
        <f aca="false">N122</f>
        <v>8663463.50741292</v>
      </c>
      <c r="P120" s="53" t="n">
        <f aca="false">O122</f>
        <v>7256217.11084742</v>
      </c>
    </row>
    <row r="121" customFormat="false" ht="15" hidden="false" customHeight="false" outlineLevel="0" collapsed="false">
      <c r="A121" s="10" t="s">
        <v>650</v>
      </c>
      <c r="B121" s="36" t="s">
        <v>169</v>
      </c>
      <c r="D121" s="53" t="n">
        <f aca="false">MIN(D120,MAX(D119,0))</f>
        <v>0</v>
      </c>
      <c r="E121" s="53" t="n">
        <f aca="false">MIN(E120,MAX(E119,0))</f>
        <v>253522.35253528</v>
      </c>
      <c r="F121" s="53" t="n">
        <f aca="false">MIN(F120,MAX(F119,0))</f>
        <v>2272701.65599363</v>
      </c>
      <c r="I121" s="53" t="n">
        <f aca="false">MIN(I120,MAX(I119,0))</f>
        <v>0</v>
      </c>
      <c r="J121" s="53" t="n">
        <f aca="false">MIN(J120,MAX(J119,0))</f>
        <v>0</v>
      </c>
      <c r="K121" s="53" t="n">
        <f aca="false">MIN(K120,MAX(K119,0))</f>
        <v>1304282.39626854</v>
      </c>
      <c r="N121" s="53" t="n">
        <f aca="false">MIN(N120,MAX(N119,0))</f>
        <v>45217.5770299869</v>
      </c>
      <c r="O121" s="53" t="n">
        <f aca="false">MIN(O120,MAX(O119,0))</f>
        <v>1407246.39656549</v>
      </c>
      <c r="P121" s="53" t="n">
        <f aca="false">MIN(P120,MAX(P119,0))</f>
        <v>3221507.23626845</v>
      </c>
    </row>
    <row r="122" customFormat="false" ht="15" hidden="false" customHeight="false" outlineLevel="0" collapsed="false">
      <c r="A122" s="10" t="s">
        <v>651</v>
      </c>
      <c r="B122" s="36" t="s">
        <v>169</v>
      </c>
      <c r="D122" s="53" t="n">
        <f aca="false">D120-D121+MAX(-D119,0)</f>
        <v>11653314.7517291</v>
      </c>
      <c r="E122" s="53" t="n">
        <f aca="false">E120-E121+MAX(-E119,0)</f>
        <v>11399792.3991938</v>
      </c>
      <c r="F122" s="53" t="n">
        <f aca="false">F120-F121+MAX(-F119,0)</f>
        <v>9127090.74320016</v>
      </c>
      <c r="I122" s="53" t="n">
        <f aca="false">I120-I121+MAX(-I119,0)</f>
        <v>15580106.130431</v>
      </c>
      <c r="J122" s="53" t="n">
        <f aca="false">J120-J121+MAX(-J119,0)</f>
        <v>16631153.8000945</v>
      </c>
      <c r="K122" s="53" t="n">
        <f aca="false">K120-K121+MAX(-K119,0)</f>
        <v>15326871.4038259</v>
      </c>
      <c r="N122" s="53" t="n">
        <f aca="false">N120-N121+MAX(-N119,0)</f>
        <v>8663463.50741292</v>
      </c>
      <c r="O122" s="53" t="n">
        <f aca="false">O120-O121+MAX(-O119,0)</f>
        <v>7256217.11084742</v>
      </c>
      <c r="P122" s="53" t="n">
        <f aca="false">P120-P121+MAX(-P119,0)</f>
        <v>4034709.87457897</v>
      </c>
    </row>
    <row r="123" customFormat="false" ht="15" hidden="false" customHeight="false" outlineLevel="0" collapsed="false">
      <c r="A123" s="10" t="s">
        <v>652</v>
      </c>
      <c r="B123" s="36" t="s">
        <v>169</v>
      </c>
      <c r="D123" s="53" t="n">
        <f aca="false">(MAX(D119,0)-D121)*F87</f>
        <v>0</v>
      </c>
      <c r="E123" s="53" t="n">
        <f aca="false">(MAX(E119,0)-E121)*F87</f>
        <v>0</v>
      </c>
      <c r="F123" s="53" t="n">
        <f aca="false">(MAX(F119,0)-F121)*F87</f>
        <v>0</v>
      </c>
      <c r="I123" s="53" t="n">
        <f aca="false">(MAX(I119,0)-I121)*K87</f>
        <v>0</v>
      </c>
      <c r="J123" s="53" t="n">
        <f aca="false">(MAX(J119,0)-J121)*K87</f>
        <v>0</v>
      </c>
      <c r="K123" s="53" t="n">
        <f aca="false">(MAX(K119,0)-K121)*K87</f>
        <v>0</v>
      </c>
      <c r="N123" s="53" t="n">
        <f aca="false">(MAX(N119,0)-N121)*P87</f>
        <v>0</v>
      </c>
      <c r="O123" s="53" t="n">
        <f aca="false">(MAX(O119,0)-O121)*P87</f>
        <v>0</v>
      </c>
      <c r="P123" s="53" t="n">
        <f aca="false">(MAX(P119,0)-P121)*P87</f>
        <v>0</v>
      </c>
    </row>
    <row r="124" customFormat="false" ht="15" hidden="false" customHeight="false" outlineLevel="0" collapsed="false">
      <c r="A124" s="7" t="s">
        <v>653</v>
      </c>
      <c r="B124" s="36" t="s">
        <v>169</v>
      </c>
      <c r="D124" s="52" t="n">
        <f aca="false">D119-D123-Assumptions!$C$14*MAX(D119-D123,0)</f>
        <v>-1125889.90117665</v>
      </c>
      <c r="E124" s="52" t="n">
        <f aca="false">E119-E123-Assumptions!$C$14*MAX(E119-E123,0)</f>
        <v>228170.117281752</v>
      </c>
      <c r="F124" s="52" t="n">
        <f aca="false">F119-F123-Assumptions!$C$14*MAX(F119-F123,0)</f>
        <v>2045431.49039427</v>
      </c>
      <c r="I124" s="52" t="n">
        <f aca="false">I119-I123-Assumptions!$C$14*MAX(I119-I123,0)</f>
        <v>-2520101.61388217</v>
      </c>
      <c r="J124" s="52" t="n">
        <f aca="false">J119-J123-Assumptions!$C$14*MAX(J119-J123,0)</f>
        <v>-1051047.66966351</v>
      </c>
      <c r="K124" s="52" t="n">
        <f aca="false">K119-K123-Assumptions!$C$14*MAX(K119-K123,0)</f>
        <v>1173854.15664168</v>
      </c>
      <c r="N124" s="52" t="n">
        <f aca="false">N119-N123-Assumptions!$C$14*MAX(N119-N123,0)</f>
        <v>40695.8193269882</v>
      </c>
      <c r="O124" s="52" t="n">
        <f aca="false">O119-O123-Assumptions!$C$14*MAX(O119-O123,0)</f>
        <v>1266521.75690895</v>
      </c>
      <c r="P124" s="52" t="n">
        <f aca="false">P119-P123-Assumptions!$C$14*MAX(P119-P123,0)</f>
        <v>2899356.5126416</v>
      </c>
    </row>
    <row r="125" customFormat="false" ht="15" hidden="false" customHeight="false" outlineLevel="0" collapsed="false">
      <c r="A125" s="10" t="s">
        <v>654</v>
      </c>
      <c r="B125" s="36" t="s">
        <v>169</v>
      </c>
      <c r="D125" s="53" t="n">
        <f aca="false">F103+D124</f>
        <v>-11308296.8501682</v>
      </c>
      <c r="E125" s="53" t="n">
        <f aca="false">D125+E124</f>
        <v>-11080126.7328865</v>
      </c>
      <c r="F125" s="53" t="n">
        <f aca="false">E125+F124</f>
        <v>-9034695.2424922</v>
      </c>
      <c r="I125" s="53" t="n">
        <f aca="false">K103+I124</f>
        <v>-15349604.8549599</v>
      </c>
      <c r="J125" s="53" t="n">
        <f aca="false">I125+J124</f>
        <v>-16400652.5246234</v>
      </c>
      <c r="K125" s="53" t="n">
        <f aca="false">J125+K124</f>
        <v>-15226798.3679817</v>
      </c>
      <c r="N125" s="53" t="n">
        <f aca="false">P103+N124</f>
        <v>-8200966.63759693</v>
      </c>
      <c r="O125" s="53" t="n">
        <f aca="false">N125+O124</f>
        <v>-6934444.88068798</v>
      </c>
      <c r="P125" s="53" t="n">
        <f aca="false">O125+P124</f>
        <v>-4035088.36804638</v>
      </c>
    </row>
    <row r="126" customFormat="false" ht="15" hidden="false" customHeight="false" outlineLevel="0" collapsed="false">
      <c r="A126" s="10" t="s">
        <v>655</v>
      </c>
      <c r="B126" s="36" t="s">
        <v>169</v>
      </c>
      <c r="D126" s="53" t="n">
        <f aca="false">D124/(1+Assumptions!$C$8)^4</f>
        <v>-715523.386491191</v>
      </c>
      <c r="E126" s="53" t="n">
        <f aca="false">E124/(1+Assumptions!$C$8)^5</f>
        <v>129469.852218129</v>
      </c>
      <c r="F126" s="53" t="n">
        <f aca="false">F124/(1+Assumptions!$C$8)^6</f>
        <v>1036279.24926985</v>
      </c>
      <c r="I126" s="53" t="n">
        <f aca="false">I124/(1+Assumptions!$C$8)^4</f>
        <v>-1601570.13503931</v>
      </c>
      <c r="J126" s="53" t="n">
        <f aca="false">J124/(1+Assumptions!$C$8)^5</f>
        <v>-596392.674407527</v>
      </c>
      <c r="K126" s="53" t="n">
        <f aca="false">K124/(1+Assumptions!$C$8)^6</f>
        <v>594711.047478034</v>
      </c>
      <c r="N126" s="53" t="n">
        <f aca="false">N124/(1+Assumptions!$C$8)^4</f>
        <v>25862.9288977978</v>
      </c>
      <c r="O126" s="53" t="n">
        <f aca="false">O124/(1+Assumptions!$C$8)^5</f>
        <v>718658.458222039</v>
      </c>
      <c r="P126" s="53" t="n">
        <f aca="false">P124/(1+Assumptions!$C$8)^6</f>
        <v>1468904.24069238</v>
      </c>
    </row>
    <row r="127" customFormat="false" ht="15" hidden="false" customHeight="false" outlineLevel="0" collapsed="false">
      <c r="A127" s="10" t="s">
        <v>656</v>
      </c>
      <c r="B127" s="36" t="s">
        <v>169</v>
      </c>
      <c r="F127" s="53" t="n">
        <f aca="false">F116*Assumptions!$D$69*(1-Assumptions!$C$15)*(1-Assumptions!$C$14)</f>
        <v>1649131.06008407</v>
      </c>
      <c r="K127" s="53" t="n">
        <f aca="false">K116*Assumptions!$D$69*(1-Assumptions!$C$15)*(1-Assumptions!$C$14)</f>
        <v>946421.016209859</v>
      </c>
      <c r="P127" s="53" t="n">
        <f aca="false">P116*Assumptions!$D$69*(1-Assumptions!$C$15)*(1-Assumptions!$C$14)</f>
        <v>2337608.91122912</v>
      </c>
    </row>
    <row r="128" customFormat="false" ht="15" hidden="false" customHeight="false" outlineLevel="0" collapsed="false">
      <c r="A128" s="10" t="s">
        <v>657</v>
      </c>
      <c r="B128" s="36" t="s">
        <v>169</v>
      </c>
      <c r="F128" s="53" t="n">
        <f aca="false">F127*(1+Assumptions!$C$9)/(Assumptions!$C$8-Assumptions!$C$9)*(1-Assumptions!$C$10)</f>
        <v>15098711.0389919</v>
      </c>
      <c r="K128" s="53" t="n">
        <f aca="false">K127*(1+Assumptions!$C$9)/(Assumptions!$C$8-Assumptions!$C$9)*(1-Assumptions!$C$10)</f>
        <v>8665010.19285471</v>
      </c>
      <c r="P128" s="53" t="n">
        <f aca="false">P127*(1+Assumptions!$C$9)/(Assumptions!$C$8-Assumptions!$C$9)*(1-Assumptions!$C$10)</f>
        <v>21402108.2539199</v>
      </c>
    </row>
    <row r="129" customFormat="false" ht="15" hidden="false" customHeight="false" outlineLevel="0" collapsed="false">
      <c r="A129" s="10" t="s">
        <v>658</v>
      </c>
      <c r="B129" s="36" t="s">
        <v>169</v>
      </c>
      <c r="F129" s="53" t="n">
        <f aca="false">F128/(1+Assumptions!$C$8)^6</f>
        <v>7649476.90201687</v>
      </c>
      <c r="K129" s="53" t="n">
        <f aca="false">K128/(1+Assumptions!$C$8)^6</f>
        <v>4389963.82901889</v>
      </c>
      <c r="P129" s="53" t="n">
        <f aca="false">P128/(1+Assumptions!$C$8)^6</f>
        <v>10842974.1002418</v>
      </c>
    </row>
    <row r="131" customFormat="false" ht="15" hidden="false" customHeight="false" outlineLevel="0" collapsed="false">
      <c r="A131" s="4" t="s">
        <v>659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customFormat="false" ht="15" hidden="false" customHeight="false" outlineLevel="0" collapsed="false">
      <c r="A132" s="56" t="s">
        <v>660</v>
      </c>
      <c r="B132" s="80" t="s">
        <v>169</v>
      </c>
      <c r="C132" s="57" t="n">
        <f aca="false">SUM(D49:F49)</f>
        <v>6961511.40984862</v>
      </c>
      <c r="H132" s="57" t="n">
        <f aca="false">SUM(I49:K49)</f>
        <v>4263475.67560308</v>
      </c>
      <c r="M132" s="57" t="n">
        <f aca="false">SUM(N49:P49)</f>
        <v>9557727.02205087</v>
      </c>
    </row>
    <row r="133" customFormat="false" ht="15" hidden="false" customHeight="false" outlineLevel="0" collapsed="false">
      <c r="A133" s="56" t="s">
        <v>69</v>
      </c>
      <c r="B133" s="80" t="s">
        <v>169</v>
      </c>
      <c r="C133" s="57" t="n">
        <f aca="false">F49</f>
        <v>4427692.13016862</v>
      </c>
      <c r="H133" s="57" t="n">
        <f aca="false">K49</f>
        <v>2676006.10369044</v>
      </c>
      <c r="M133" s="57" t="n">
        <f aca="false">P49</f>
        <v>6120406.50533995</v>
      </c>
    </row>
    <row r="134" customFormat="false" ht="15" hidden="false" customHeight="false" outlineLevel="0" collapsed="false">
      <c r="A134" s="56" t="s">
        <v>70</v>
      </c>
      <c r="B134" s="80" t="s">
        <v>169</v>
      </c>
      <c r="C134" s="57" t="n">
        <f aca="false">F50</f>
        <v>4963963.21628598</v>
      </c>
      <c r="H134" s="57" t="n">
        <f aca="false">K50</f>
        <v>2848772.43858729</v>
      </c>
      <c r="M134" s="57" t="n">
        <f aca="false">P50</f>
        <v>7036314.41446025</v>
      </c>
    </row>
    <row r="135" customFormat="false" ht="15" hidden="false" customHeight="false" outlineLevel="0" collapsed="false">
      <c r="A135" s="56" t="s">
        <v>373</v>
      </c>
      <c r="B135" s="80" t="s">
        <v>550</v>
      </c>
      <c r="C135" s="58" t="n">
        <f aca="false">F34</f>
        <v>290.84064</v>
      </c>
      <c r="H135" s="58" t="n">
        <f aca="false">K34</f>
        <v>185.439696</v>
      </c>
      <c r="M135" s="58" t="n">
        <f aca="false">P34</f>
        <v>381.740268</v>
      </c>
    </row>
    <row r="136" customFormat="false" ht="15" hidden="false" customHeight="false" outlineLevel="0" collapsed="false">
      <c r="A136" s="56" t="s">
        <v>72</v>
      </c>
      <c r="B136" s="80" t="s">
        <v>169</v>
      </c>
      <c r="C136" s="57" t="n">
        <f aca="false">F79</f>
        <v>-2076531.19418919</v>
      </c>
      <c r="H136" s="57" t="n">
        <f aca="false">K79</f>
        <v>-3573859.41771403</v>
      </c>
      <c r="M136" s="57" t="n">
        <f aca="false">P79</f>
        <v>-857240.903079002</v>
      </c>
    </row>
    <row r="137" customFormat="false" ht="15" hidden="false" customHeight="false" outlineLevel="0" collapsed="false">
      <c r="A137" s="56" t="s">
        <v>73</v>
      </c>
      <c r="B137" s="80" t="s">
        <v>127</v>
      </c>
      <c r="C137" s="81" t="n">
        <f aca="false">F80</f>
        <v>-0.468987258630855</v>
      </c>
      <c r="H137" s="81" t="n">
        <f aca="false">K80</f>
        <v>-1.33551990512479</v>
      </c>
      <c r="M137" s="81" t="n">
        <f aca="false">P80</f>
        <v>-0.140062739677679</v>
      </c>
    </row>
    <row r="138" customFormat="false" ht="15" hidden="false" customHeight="false" outlineLevel="0" collapsed="false">
      <c r="A138" s="56" t="s">
        <v>74</v>
      </c>
      <c r="B138" s="80"/>
      <c r="C138" s="56" t="str">
        <f aca="false">IF(D79&gt;0,"Year 1",IF(E79&gt;0,"Year 2",IF(F79&gt;0,"Year 3","After Year 3")))</f>
        <v>After Year 3</v>
      </c>
      <c r="H138" s="56" t="str">
        <f aca="false">IF(I79&gt;0,"Year 1",IF(J79&gt;0,"Year 2",IF(K79&gt;0,"Year 3","After Year 3")))</f>
        <v>After Year 3</v>
      </c>
      <c r="M138" s="56" t="str">
        <f aca="false">IF(N79&gt;0,"Year 1",IF(O79&gt;0,"Year 2",IF(P79&gt;0,"Year 3","After Year 3")))</f>
        <v>After Year 3</v>
      </c>
    </row>
    <row r="139" customFormat="false" ht="15" hidden="false" customHeight="false" outlineLevel="0" collapsed="false">
      <c r="A139" s="56" t="s">
        <v>661</v>
      </c>
      <c r="B139" s="80"/>
      <c r="C139" s="56" t="str">
        <f aca="false">IF(D103&gt;=0,"Year 1",IF(E103&gt;=0,"Year 2",IF(F103&gt;=0,"Year 3","Beyond Year 3")))</f>
        <v>Beyond Year 3</v>
      </c>
      <c r="H139" s="56" t="str">
        <f aca="false">IF(I103&gt;=0,"Year 1",IF(J103&gt;=0,"Year 2",IF(K103&gt;=0,"Year 3","Beyond Year 3")))</f>
        <v>Beyond Year 3</v>
      </c>
      <c r="M139" s="56" t="str">
        <f aca="false">IF(N103&gt;=0,"Year 1",IF(O103&gt;=0,"Year 2",IF(P103&gt;=0,"Year 3","Beyond Year 3")))</f>
        <v>Beyond Year 3</v>
      </c>
    </row>
    <row r="140" customFormat="false" ht="15" hidden="false" customHeight="false" outlineLevel="0" collapsed="false">
      <c r="A140" s="56" t="s">
        <v>662</v>
      </c>
      <c r="B140" s="80" t="s">
        <v>169</v>
      </c>
      <c r="C140" s="57" t="n">
        <f aca="false">MAX(0,-MIN(C103:F103))</f>
        <v>10182406.9489916</v>
      </c>
      <c r="H140" s="57" t="n">
        <f aca="false">MAX(0,-MIN(H103:K103))</f>
        <v>12829503.2410777</v>
      </c>
      <c r="M140" s="57" t="n">
        <f aca="false">MAX(0,-MIN(M103:P103))</f>
        <v>8241662.45692392</v>
      </c>
    </row>
    <row r="141" customFormat="false" ht="15" hidden="false" customHeight="false" outlineLevel="0" collapsed="false">
      <c r="A141" s="56" t="s">
        <v>663</v>
      </c>
      <c r="B141" s="80" t="s">
        <v>169</v>
      </c>
      <c r="C141" s="57" t="n">
        <f aca="false">MAX(0,-MIN(C103:F103,IF(Assumptions!$C$11=1,MIN(D125:F125),0)))</f>
        <v>11308296.8501682</v>
      </c>
      <c r="H141" s="57" t="n">
        <f aca="false">MAX(0,-MIN(H103:K103,IF(Assumptions!$C$11=1,MIN(I125:K125),0)))</f>
        <v>16400652.5246234</v>
      </c>
      <c r="M141" s="57" t="n">
        <f aca="false">MAX(0,-MIN(M103:P103,IF(Assumptions!$C$11=1,MIN(N125:P125),0)))</f>
        <v>8241662.45692392</v>
      </c>
    </row>
    <row r="142" customFormat="false" ht="15" hidden="false" customHeight="false" outlineLevel="0" collapsed="false">
      <c r="A142" s="56" t="s">
        <v>664</v>
      </c>
      <c r="B142" s="80" t="s">
        <v>169</v>
      </c>
      <c r="C142" s="57" t="n">
        <f aca="false">MAX(0,-D103)</f>
        <v>5149411.44736986</v>
      </c>
      <c r="H142" s="57" t="n">
        <f aca="false">MAX(0,-I103)</f>
        <v>5458488.81978329</v>
      </c>
      <c r="M142" s="57" t="n">
        <f aca="false">MAX(0,-N103)</f>
        <v>5034611.13923332</v>
      </c>
    </row>
    <row r="143" customFormat="false" ht="15" hidden="false" customHeight="false" outlineLevel="0" collapsed="false">
      <c r="A143" s="56" t="s">
        <v>665</v>
      </c>
      <c r="B143" s="80" t="s">
        <v>169</v>
      </c>
      <c r="C143" s="57" t="n">
        <f aca="false">SUM(C107:F107)</f>
        <v>-8617691.62840575</v>
      </c>
      <c r="H143" s="57" t="n">
        <f aca="false">SUM(H107:K107)</f>
        <v>-10622988.2913601</v>
      </c>
      <c r="M143" s="57" t="n">
        <f aca="false">SUM(M107:P107)</f>
        <v>-7170421.60476309</v>
      </c>
    </row>
    <row r="144" customFormat="false" ht="15" hidden="false" customHeight="false" outlineLevel="0" collapsed="false">
      <c r="A144" s="56" t="s">
        <v>666</v>
      </c>
      <c r="B144" s="80" t="s">
        <v>169</v>
      </c>
      <c r="C144" s="57" t="n">
        <f aca="false">IF(Assumptions!$C$11=1,SUM(D126:F126)+F129,F112)</f>
        <v>8099702.61701366</v>
      </c>
      <c r="H144" s="57" t="n">
        <f aca="false">IF(Assumptions!$C$11=1,SUM(I126:K126)+K129,K112)</f>
        <v>2786712.06705009</v>
      </c>
      <c r="M144" s="57" t="n">
        <f aca="false">IF(Assumptions!$C$11=1,SUM(N126:P126)+P129,P112)</f>
        <v>13056399.7280541</v>
      </c>
    </row>
    <row r="145" customFormat="false" ht="15" hidden="false" customHeight="false" outlineLevel="0" collapsed="false">
      <c r="A145" s="56" t="s">
        <v>667</v>
      </c>
      <c r="B145" s="80" t="s">
        <v>169</v>
      </c>
      <c r="C145" s="57" t="n">
        <f aca="false">C143+F112</f>
        <v>-2864767.60391907</v>
      </c>
      <c r="H145" s="57" t="n">
        <f aca="false">H143+K112</f>
        <v>-7321438.56422364</v>
      </c>
      <c r="M145" s="57" t="n">
        <f aca="false">M143+P112</f>
        <v>984228.314072708</v>
      </c>
    </row>
    <row r="146" customFormat="false" ht="15" hidden="false" customHeight="false" outlineLevel="0" collapsed="false">
      <c r="A146" s="56" t="s">
        <v>668</v>
      </c>
      <c r="B146" s="80" t="s">
        <v>169</v>
      </c>
      <c r="C146" s="57" t="n">
        <f aca="false">C143+C144</f>
        <v>-517989.011392097</v>
      </c>
      <c r="H146" s="57" t="n">
        <f aca="false">H143+H144</f>
        <v>-7836276.22430999</v>
      </c>
      <c r="M146" s="57" t="n">
        <f aca="false">M143+M144</f>
        <v>5885978.12329098</v>
      </c>
    </row>
    <row r="147" customFormat="false" ht="15" hidden="false" customHeight="false" outlineLevel="0" collapsed="false">
      <c r="A147" s="56" t="s">
        <v>669</v>
      </c>
      <c r="B147" s="80" t="s">
        <v>127</v>
      </c>
      <c r="C147" s="82" t="n">
        <f aca="false">IRR_Calc!$K$8</f>
        <v>0.105425947921034</v>
      </c>
      <c r="H147" s="82" t="n">
        <f aca="false">IRR_Calc!$K$9</f>
        <v>-0.13309247572316</v>
      </c>
      <c r="M147" s="82" t="n">
        <f aca="false">IRR_Calc!$K$10</f>
        <v>0.269151350588548</v>
      </c>
    </row>
    <row r="148" customFormat="false" ht="15" hidden="false" customHeight="false" outlineLevel="0" collapsed="false">
      <c r="A148" s="56" t="s">
        <v>670</v>
      </c>
      <c r="B148" s="80" t="s">
        <v>137</v>
      </c>
      <c r="C148" s="83" t="n">
        <f aca="false">IF(C141=0,0,C146/C141)</f>
        <v>-0.0458061030989288</v>
      </c>
      <c r="H148" s="83" t="n">
        <f aca="false">IF(H141=0,0,H146/H141)</f>
        <v>-0.477802710138811</v>
      </c>
      <c r="M148" s="83" t="n">
        <f aca="false">IF(M141=0,0,M146/M141)</f>
        <v>0.714173645675831</v>
      </c>
    </row>
    <row r="149" customFormat="false" ht="15" hidden="false" customHeight="false" outlineLevel="0" collapsed="false">
      <c r="A149" s="56" t="s">
        <v>671</v>
      </c>
      <c r="B149" s="80" t="s">
        <v>137</v>
      </c>
      <c r="C149" s="83" t="n">
        <f aca="false">IF(F50=0,0,IF(Assumptions!$C$11=1,F128,F111)/F50)</f>
        <v>3.04166456944231</v>
      </c>
      <c r="H149" s="83" t="n">
        <f aca="false">IF(K50=0,0,IF(Assumptions!$C$11=1,K128,K111)/K50)</f>
        <v>3.0416645694423</v>
      </c>
      <c r="M149" s="83" t="n">
        <f aca="false">IF(P50=0,0,IF(Assumptions!$C$11=1,P128,P111)/P50)</f>
        <v>3.0416645694423</v>
      </c>
    </row>
    <row r="150" customFormat="false" ht="15" hidden="false" customHeight="false" outlineLevel="0" collapsed="false">
      <c r="A150" s="56" t="s">
        <v>672</v>
      </c>
      <c r="B150" s="80" t="s">
        <v>673</v>
      </c>
      <c r="C150" s="66" t="n">
        <f aca="false">C146*Assumptions!$C$7/10000000</f>
        <v>-1.21727417677143</v>
      </c>
      <c r="H150" s="66" t="n">
        <f aca="false">H146*Assumptions!$C$7/10000000</f>
        <v>-18.4152491271285</v>
      </c>
      <c r="M150" s="66" t="n">
        <f aca="false">M146*Assumptions!$C$7/10000000</f>
        <v>13.8320485897338</v>
      </c>
    </row>
    <row r="151" customFormat="false" ht="15" hidden="false" customHeight="false" outlineLevel="0" collapsed="false">
      <c r="A151" s="56" t="s">
        <v>674</v>
      </c>
      <c r="B151" s="80" t="s">
        <v>169</v>
      </c>
      <c r="C151" s="57" t="n">
        <f aca="false">ROUND(C143-(C102+NPV(Assumptions!$C$8,D102:F102)),2)</f>
        <v>0</v>
      </c>
      <c r="H151" s="57" t="n">
        <f aca="false">ROUND(H143-(H102+NPV(Assumptions!$C$8,I102:K102)),2)</f>
        <v>0</v>
      </c>
      <c r="M151" s="57" t="n">
        <f aca="false">ROUND(M143-(M102+NPV(Assumptions!$C$8,N102:P102)),2)</f>
        <v>0</v>
      </c>
    </row>
  </sheetData>
  <mergeCells count="3">
    <mergeCell ref="C4:F4"/>
    <mergeCell ref="H4:K4"/>
    <mergeCell ref="M4:P4"/>
  </mergeCells>
  <conditionalFormatting sqref="C79:F79">
    <cfRule type="cellIs" priority="2" operator="lessThan" aboveAverage="0" equalAverage="0" bottom="0" percent="0" rank="0" text="" dxfId="2">
      <formula>0</formula>
    </cfRule>
  </conditionalFormatting>
  <conditionalFormatting sqref="H79:K79">
    <cfRule type="cellIs" priority="3" operator="lessThan" aboveAverage="0" equalAverage="0" bottom="0" percent="0" rank="0" text="" dxfId="2">
      <formula>0</formula>
    </cfRule>
  </conditionalFormatting>
  <conditionalFormatting sqref="M79:P79">
    <cfRule type="cellIs" priority="4" operator="lessThan" aboveAverage="0" equalAverage="0" bottom="0" percent="0" rank="0" text="" dxfId="2">
      <formula>0</formula>
    </cfRule>
  </conditionalFormatting>
  <conditionalFormatting sqref="C102:F102">
    <cfRule type="cellIs" priority="5" operator="lessThan" aboveAverage="0" equalAverage="0" bottom="0" percent="0" rank="0" text="" dxfId="2">
      <formula>0</formula>
    </cfRule>
  </conditionalFormatting>
  <conditionalFormatting sqref="H102:K102">
    <cfRule type="cellIs" priority="6" operator="lessThan" aboveAverage="0" equalAverage="0" bottom="0" percent="0" rank="0" text="" dxfId="2">
      <formula>0</formula>
    </cfRule>
  </conditionalFormatting>
  <conditionalFormatting sqref="M102:P102">
    <cfRule type="cellIs" priority="7" operator="lessThan" aboveAverage="0" equalAverage="0" bottom="0" percent="0" rank="0" text="" dxfId="2">
      <formula>0</formula>
    </cfRule>
  </conditionalFormatting>
  <conditionalFormatting sqref="C103:F103">
    <cfRule type="cellIs" priority="8" operator="lessThan" aboveAverage="0" equalAverage="0" bottom="0" percent="0" rank="0" text="" dxfId="2">
      <formula>0</formula>
    </cfRule>
  </conditionalFormatting>
  <conditionalFormatting sqref="H103:K103">
    <cfRule type="cellIs" priority="9" operator="lessThan" aboveAverage="0" equalAverage="0" bottom="0" percent="0" rank="0" text="" dxfId="2">
      <formula>0</formula>
    </cfRule>
  </conditionalFormatting>
  <conditionalFormatting sqref="M103:P103">
    <cfRule type="cellIs" priority="10" operator="lessThan" aboveAverage="0" equalAverage="0" bottom="0" percent="0" rank="0" text="" dxfId="2">
      <formula>0</formula>
    </cfRule>
  </conditionalFormatting>
  <conditionalFormatting sqref="C94:F94">
    <cfRule type="cellIs" priority="11" operator="lessThan" aboveAverage="0" equalAverage="0" bottom="0" percent="0" rank="0" text="" dxfId="2">
      <formula>0</formula>
    </cfRule>
  </conditionalFormatting>
  <conditionalFormatting sqref="H94:K94">
    <cfRule type="cellIs" priority="12" operator="lessThan" aboveAverage="0" equalAverage="0" bottom="0" percent="0" rank="0" text="" dxfId="2">
      <formula>0</formula>
    </cfRule>
  </conditionalFormatting>
  <conditionalFormatting sqref="M94:P94">
    <cfRule type="cellIs" priority="13" operator="lessThan" aboveAverage="0" equalAverage="0" bottom="0" percent="0" rank="0" text="" dxfId="2">
      <formula>0</formula>
    </cfRule>
  </conditionalFormatting>
  <conditionalFormatting sqref="C146:F146">
    <cfRule type="cellIs" priority="14" operator="lessThan" aboveAverage="0" equalAverage="0" bottom="0" percent="0" rank="0" text="" dxfId="2">
      <formula>0</formula>
    </cfRule>
  </conditionalFormatting>
  <conditionalFormatting sqref="H146:K146">
    <cfRule type="cellIs" priority="15" operator="lessThan" aboveAverage="0" equalAverage="0" bottom="0" percent="0" rank="0" text="" dxfId="2">
      <formula>0</formula>
    </cfRule>
  </conditionalFormatting>
  <conditionalFormatting sqref="M146:P146">
    <cfRule type="cellIs" priority="16" operator="lessThan" aboveAverage="0" equalAverage="0" bottom="0" percent="0" rank="0" text="" dxfId="2">
      <formula>0</formula>
    </cfRule>
  </conditionalFormatting>
  <conditionalFormatting sqref="C143:F143">
    <cfRule type="cellIs" priority="17" operator="lessThan" aboveAverage="0" equalAverage="0" bottom="0" percent="0" rank="0" text="" dxfId="2">
      <formula>0</formula>
    </cfRule>
  </conditionalFormatting>
  <conditionalFormatting sqref="H143:K143">
    <cfRule type="cellIs" priority="18" operator="lessThan" aboveAverage="0" equalAverage="0" bottom="0" percent="0" rank="0" text="" dxfId="2">
      <formula>0</formula>
    </cfRule>
  </conditionalFormatting>
  <conditionalFormatting sqref="M143:P143">
    <cfRule type="cellIs" priority="19" operator="lessThan" aboveAverage="0" equalAverage="0" bottom="0" percent="0" rank="0" text="" dxfId="2">
      <formula>0</formula>
    </cfRule>
  </conditionalFormatting>
  <conditionalFormatting sqref="C136:F136">
    <cfRule type="cellIs" priority="20" operator="lessThan" aboveAverage="0" equalAverage="0" bottom="0" percent="0" rank="0" text="" dxfId="2">
      <formula>0</formula>
    </cfRule>
  </conditionalFormatting>
  <conditionalFormatting sqref="H136:K136">
    <cfRule type="cellIs" priority="21" operator="lessThan" aboveAverage="0" equalAverage="0" bottom="0" percent="0" rank="0" text="" dxfId="2">
      <formula>0</formula>
    </cfRule>
  </conditionalFormatting>
  <conditionalFormatting sqref="M136:P136">
    <cfRule type="cellIs" priority="22" operator="less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true"/>
  </sheetPr>
  <dimension ref="A1:P1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8"/>
    <col collapsed="false" customWidth="true" hidden="false" outlineLevel="0" max="6" min="3" style="0" width="14"/>
    <col collapsed="false" customWidth="true" hidden="false" outlineLevel="0" max="7" min="7" style="0" width="3"/>
    <col collapsed="false" customWidth="true" hidden="false" outlineLevel="0" max="11" min="8" style="0" width="14"/>
    <col collapsed="false" customWidth="true" hidden="false" outlineLevel="0" max="12" min="12" style="0" width="3"/>
    <col collapsed="false" customWidth="true" hidden="false" outlineLevel="0" max="16" min="13" style="0" width="14"/>
    <col collapsed="false" customWidth="true" hidden="false" outlineLevel="0" max="17" min="17" style="0" width="3"/>
  </cols>
  <sheetData>
    <row r="1" customFormat="false" ht="17.35" hidden="false" customHeight="false" outlineLevel="0" collapsed="false">
      <c r="A1" s="13" t="s">
        <v>676</v>
      </c>
    </row>
    <row r="2" customFormat="false" ht="15" hidden="false" customHeight="false" outlineLevel="0" collapsed="false">
      <c r="A2" s="14" t="s">
        <v>543</v>
      </c>
    </row>
    <row r="4" customFormat="false" ht="15" hidden="false" customHeight="false" outlineLevel="0" collapsed="false">
      <c r="C4" s="68" t="s">
        <v>544</v>
      </c>
      <c r="D4" s="68"/>
      <c r="E4" s="68"/>
      <c r="F4" s="68"/>
      <c r="H4" s="69" t="s">
        <v>545</v>
      </c>
      <c r="I4" s="69"/>
      <c r="J4" s="69"/>
      <c r="K4" s="69"/>
      <c r="M4" s="70" t="s">
        <v>546</v>
      </c>
      <c r="N4" s="70"/>
      <c r="O4" s="70"/>
      <c r="P4" s="70"/>
    </row>
    <row r="5" customFormat="false" ht="15" hidden="false" customHeight="false" outlineLevel="0" collapsed="false">
      <c r="A5" s="71" t="s">
        <v>547</v>
      </c>
      <c r="B5" s="71" t="s">
        <v>120</v>
      </c>
      <c r="C5" s="72" t="s">
        <v>105</v>
      </c>
      <c r="D5" s="72" t="s">
        <v>101</v>
      </c>
      <c r="E5" s="72" t="s">
        <v>102</v>
      </c>
      <c r="F5" s="72" t="s">
        <v>103</v>
      </c>
      <c r="H5" s="72" t="s">
        <v>105</v>
      </c>
      <c r="I5" s="72" t="s">
        <v>101</v>
      </c>
      <c r="J5" s="72" t="s">
        <v>102</v>
      </c>
      <c r="K5" s="72" t="s">
        <v>103</v>
      </c>
      <c r="M5" s="72" t="s">
        <v>105</v>
      </c>
      <c r="N5" s="72" t="s">
        <v>101</v>
      </c>
      <c r="O5" s="72" t="s">
        <v>102</v>
      </c>
      <c r="P5" s="72" t="s">
        <v>103</v>
      </c>
    </row>
    <row r="8" customFormat="false" ht="15" hidden="false" customHeight="false" outlineLevel="0" collapsed="false">
      <c r="A8" s="4" t="s">
        <v>548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customFormat="false" ht="15" hidden="false" customHeight="false" outlineLevel="0" collapsed="false">
      <c r="A9" s="10" t="s">
        <v>549</v>
      </c>
      <c r="B9" s="36" t="s">
        <v>550</v>
      </c>
      <c r="C9" s="73" t="n">
        <v>2</v>
      </c>
      <c r="H9" s="73" t="n">
        <v>1</v>
      </c>
      <c r="M9" s="73" t="n">
        <v>3</v>
      </c>
    </row>
    <row r="10" customFormat="false" ht="15" hidden="false" customHeight="false" outlineLevel="0" collapsed="false">
      <c r="A10" s="10" t="s">
        <v>551</v>
      </c>
      <c r="B10" s="36"/>
      <c r="C10" s="10" t="str">
        <f aca="false">CHOOSE($C$9,"Downside","Base","Upside")</f>
        <v>Base</v>
      </c>
      <c r="H10" s="10" t="str">
        <f aca="false">CHOOSE($H$9,"Downside","Base","Upside")</f>
        <v>Downside</v>
      </c>
      <c r="M10" s="10" t="str">
        <f aca="false">CHOOSE($M$9,"Downside","Base","Upside")</f>
        <v>Upside</v>
      </c>
    </row>
    <row r="11" customFormat="false" ht="15" hidden="false" customHeight="false" outlineLevel="0" collapsed="false">
      <c r="A11" s="10" t="s">
        <v>190</v>
      </c>
      <c r="B11" s="36" t="s">
        <v>137</v>
      </c>
      <c r="C11" s="74" t="n">
        <f aca="false">INDEX(Assumptions!$C$40:$E$40,$C$9)</f>
        <v>1</v>
      </c>
      <c r="H11" s="74" t="n">
        <f aca="false">INDEX(Assumptions!$C$40:$E$40,$H$9)</f>
        <v>0.65</v>
      </c>
      <c r="M11" s="74" t="n">
        <f aca="false">INDEX(Assumptions!$C$40:$E$40,$M$9)</f>
        <v>1.3</v>
      </c>
    </row>
    <row r="12" customFormat="false" ht="15" hidden="false" customHeight="false" outlineLevel="0" collapsed="false">
      <c r="A12" s="10" t="s">
        <v>552</v>
      </c>
      <c r="B12" s="36" t="s">
        <v>137</v>
      </c>
      <c r="C12" s="74" t="n">
        <f aca="false">INDEX(Assumptions!$C$41:$E$41,$C$9)</f>
        <v>1</v>
      </c>
      <c r="H12" s="74" t="n">
        <f aca="false">INDEX(Assumptions!$C$41:$E$41,$H$9)</f>
        <v>0.9</v>
      </c>
      <c r="M12" s="74" t="n">
        <f aca="false">INDEX(Assumptions!$C$41:$E$41,$M$9)</f>
        <v>1.08</v>
      </c>
    </row>
    <row r="13" customFormat="false" ht="15" hidden="false" customHeight="false" outlineLevel="0" collapsed="false">
      <c r="A13" s="10" t="s">
        <v>553</v>
      </c>
      <c r="B13" s="36" t="s">
        <v>137</v>
      </c>
      <c r="C13" s="46" t="n">
        <f aca="false">INDEX(Assumptions!$C$42:$E$42,$C$9)</f>
        <v>0</v>
      </c>
      <c r="H13" s="46" t="n">
        <f aca="false">INDEX(Assumptions!$C$42:$E$42,$H$9)</f>
        <v>0.03</v>
      </c>
      <c r="M13" s="46" t="n">
        <f aca="false">INDEX(Assumptions!$C$42:$E$42,$M$9)</f>
        <v>-0.015</v>
      </c>
    </row>
    <row r="14" customFormat="false" ht="15" hidden="false" customHeight="false" outlineLevel="0" collapsed="false">
      <c r="A14" s="10" t="s">
        <v>197</v>
      </c>
      <c r="B14" s="36" t="s">
        <v>137</v>
      </c>
      <c r="C14" s="74" t="n">
        <f aca="false">INDEX(Assumptions!$C$43:$E$43,$C$9)</f>
        <v>1</v>
      </c>
      <c r="H14" s="74" t="n">
        <f aca="false">INDEX(Assumptions!$C$43:$E$43,$H$9)</f>
        <v>1.05</v>
      </c>
      <c r="M14" s="74" t="n">
        <f aca="false">INDEX(Assumptions!$C$43:$E$43,$M$9)</f>
        <v>1</v>
      </c>
    </row>
    <row r="16" customFormat="false" ht="15" hidden="false" customHeight="false" outlineLevel="0" collapsed="false">
      <c r="A16" s="4" t="s">
        <v>554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customFormat="false" ht="15" hidden="false" customHeight="false" outlineLevel="0" collapsed="false">
      <c r="A17" s="10" t="s">
        <v>555</v>
      </c>
      <c r="B17" s="36" t="s">
        <v>292</v>
      </c>
      <c r="D17" s="59" t="n">
        <f aca="false">Assumptions!$C$129</f>
        <v>8</v>
      </c>
      <c r="E17" s="59" t="n">
        <f aca="false">Assumptions!$D$129</f>
        <v>20</v>
      </c>
      <c r="F17" s="59" t="n">
        <f aca="false">Assumptions!$E$129</f>
        <v>35</v>
      </c>
      <c r="I17" s="59" t="n">
        <f aca="false">Assumptions!$C$129</f>
        <v>8</v>
      </c>
      <c r="J17" s="59" t="n">
        <f aca="false">Assumptions!$D$129</f>
        <v>20</v>
      </c>
      <c r="K17" s="59" t="n">
        <f aca="false">Assumptions!$E$129</f>
        <v>35</v>
      </c>
      <c r="N17" s="59" t="n">
        <f aca="false">Assumptions!$C$129</f>
        <v>8</v>
      </c>
      <c r="O17" s="59" t="n">
        <f aca="false">Assumptions!$D$129</f>
        <v>20</v>
      </c>
      <c r="P17" s="59" t="n">
        <f aca="false">Assumptions!$E$129</f>
        <v>35</v>
      </c>
    </row>
    <row r="18" customFormat="false" ht="15" hidden="false" customHeight="false" outlineLevel="0" collapsed="false">
      <c r="A18" s="10" t="s">
        <v>556</v>
      </c>
      <c r="B18" s="36" t="s">
        <v>550</v>
      </c>
      <c r="D18" s="49" t="n">
        <f aca="false">D17*Assumptions!$E$63*$C$11</f>
        <v>1.6</v>
      </c>
      <c r="E18" s="49" t="n">
        <f aca="false">E17*Assumptions!$E$63*$C$11</f>
        <v>4</v>
      </c>
      <c r="F18" s="49" t="n">
        <f aca="false">F17*Assumptions!$E$63*$C$11</f>
        <v>7</v>
      </c>
      <c r="I18" s="49" t="n">
        <f aca="false">I17*Assumptions!$E$63*$H$11</f>
        <v>1.04</v>
      </c>
      <c r="J18" s="49" t="n">
        <f aca="false">J17*Assumptions!$E$63*$H$11</f>
        <v>2.6</v>
      </c>
      <c r="K18" s="49" t="n">
        <f aca="false">K17*Assumptions!$E$63*$H$11</f>
        <v>4.55</v>
      </c>
      <c r="N18" s="49" t="n">
        <f aca="false">N17*Assumptions!$E$63*$M$11</f>
        <v>2.08</v>
      </c>
      <c r="O18" s="49" t="n">
        <f aca="false">O17*Assumptions!$E$63*$M$11</f>
        <v>5.2</v>
      </c>
      <c r="P18" s="49" t="n">
        <f aca="false">P17*Assumptions!$E$63*$M$11</f>
        <v>9.1</v>
      </c>
    </row>
    <row r="19" customFormat="false" ht="15" hidden="false" customHeight="false" outlineLevel="0" collapsed="false">
      <c r="A19" s="10" t="s">
        <v>557</v>
      </c>
      <c r="B19" s="36" t="s">
        <v>550</v>
      </c>
      <c r="D19" s="49" t="n">
        <f aca="false">C21</f>
        <v>0</v>
      </c>
      <c r="E19" s="49" t="n">
        <f aca="false">D21</f>
        <v>1.6</v>
      </c>
      <c r="F19" s="49" t="n">
        <f aca="false">E21</f>
        <v>5.472</v>
      </c>
      <c r="I19" s="49" t="n">
        <f aca="false">H21</f>
        <v>0</v>
      </c>
      <c r="J19" s="49" t="n">
        <f aca="false">I21</f>
        <v>1.04</v>
      </c>
      <c r="K19" s="49" t="n">
        <f aca="false">J21</f>
        <v>3.5256</v>
      </c>
      <c r="N19" s="49" t="n">
        <f aca="false">M21</f>
        <v>0</v>
      </c>
      <c r="O19" s="49" t="n">
        <f aca="false">N21</f>
        <v>2.08</v>
      </c>
      <c r="P19" s="49" t="n">
        <f aca="false">O21</f>
        <v>7.1448</v>
      </c>
    </row>
    <row r="20" customFormat="false" ht="15" hidden="false" customHeight="false" outlineLevel="0" collapsed="false">
      <c r="A20" s="10" t="s">
        <v>558</v>
      </c>
      <c r="B20" s="36" t="s">
        <v>550</v>
      </c>
      <c r="D20" s="49" t="n">
        <f aca="false">D19*MAX(0,Assumptions!$E$66+$C$13)</f>
        <v>0</v>
      </c>
      <c r="E20" s="49" t="n">
        <f aca="false">E19*MAX(0,Assumptions!$E$66+$C$13)</f>
        <v>0.128</v>
      </c>
      <c r="F20" s="49" t="n">
        <f aca="false">F19*MAX(0,Assumptions!$E$66+$C$13)</f>
        <v>0.43776</v>
      </c>
      <c r="I20" s="49" t="n">
        <f aca="false">I19*MAX(0,Assumptions!$E$66+$H$13)</f>
        <v>0</v>
      </c>
      <c r="J20" s="49" t="n">
        <f aca="false">J19*MAX(0,Assumptions!$E$66+$H$13)</f>
        <v>0.1144</v>
      </c>
      <c r="K20" s="49" t="n">
        <f aca="false">K19*MAX(0,Assumptions!$E$66+$H$13)</f>
        <v>0.387816</v>
      </c>
      <c r="N20" s="49" t="n">
        <f aca="false">N19*MAX(0,Assumptions!$E$66+$M$13)</f>
        <v>0</v>
      </c>
      <c r="O20" s="49" t="n">
        <f aca="false">O19*MAX(0,Assumptions!$E$66+$M$13)</f>
        <v>0.1352</v>
      </c>
      <c r="P20" s="49" t="n">
        <f aca="false">P19*MAX(0,Assumptions!$E$66+$M$13)</f>
        <v>0.464412</v>
      </c>
    </row>
    <row r="21" customFormat="false" ht="15" hidden="false" customHeight="false" outlineLevel="0" collapsed="false">
      <c r="A21" s="7" t="s">
        <v>559</v>
      </c>
      <c r="B21" s="36" t="s">
        <v>550</v>
      </c>
      <c r="C21" s="75" t="n">
        <v>0</v>
      </c>
      <c r="D21" s="75" t="n">
        <f aca="false">D19+D18-D20</f>
        <v>1.6</v>
      </c>
      <c r="E21" s="75" t="n">
        <f aca="false">E19+E18-E20</f>
        <v>5.472</v>
      </c>
      <c r="F21" s="75" t="n">
        <f aca="false">F19+F18-F20</f>
        <v>12.03424</v>
      </c>
      <c r="H21" s="75" t="n">
        <v>0</v>
      </c>
      <c r="I21" s="75" t="n">
        <f aca="false">I19+I18-I20</f>
        <v>1.04</v>
      </c>
      <c r="J21" s="75" t="n">
        <f aca="false">J19+J18-J20</f>
        <v>3.5256</v>
      </c>
      <c r="K21" s="75" t="n">
        <f aca="false">K19+K18-K20</f>
        <v>7.687784</v>
      </c>
      <c r="M21" s="75" t="n">
        <v>0</v>
      </c>
      <c r="N21" s="75" t="n">
        <f aca="false">N19+N18-N20</f>
        <v>2.08</v>
      </c>
      <c r="O21" s="75" t="n">
        <f aca="false">O19+O18-O20</f>
        <v>7.1448</v>
      </c>
      <c r="P21" s="75" t="n">
        <f aca="false">P19+P18-P20</f>
        <v>15.780388</v>
      </c>
    </row>
    <row r="22" customFormat="false" ht="15" hidden="false" customHeight="false" outlineLevel="0" collapsed="false">
      <c r="A22" s="10" t="s">
        <v>560</v>
      </c>
      <c r="B22" s="36" t="s">
        <v>550</v>
      </c>
      <c r="D22" s="49" t="n">
        <f aca="false">(D19+D21)/2</f>
        <v>0.8</v>
      </c>
      <c r="E22" s="49" t="n">
        <f aca="false">(E19+E21)/2</f>
        <v>3.536</v>
      </c>
      <c r="F22" s="49" t="n">
        <f aca="false">(F19+F21)/2</f>
        <v>8.75312</v>
      </c>
      <c r="I22" s="49" t="n">
        <f aca="false">(I19+I21)/2</f>
        <v>0.52</v>
      </c>
      <c r="J22" s="49" t="n">
        <f aca="false">(J19+J21)/2</f>
        <v>2.2828</v>
      </c>
      <c r="K22" s="49" t="n">
        <f aca="false">(K19+K21)/2</f>
        <v>5.606692</v>
      </c>
      <c r="N22" s="49" t="n">
        <f aca="false">(N19+N21)/2</f>
        <v>1.04</v>
      </c>
      <c r="O22" s="49" t="n">
        <f aca="false">(O19+O21)/2</f>
        <v>4.6124</v>
      </c>
      <c r="P22" s="49" t="n">
        <f aca="false">(P19+P21)/2</f>
        <v>11.462594</v>
      </c>
    </row>
    <row r="23" customFormat="false" ht="15" hidden="false" customHeight="false" outlineLevel="0" collapsed="false">
      <c r="A23" s="10" t="s">
        <v>561</v>
      </c>
      <c r="B23" s="36" t="s">
        <v>550</v>
      </c>
      <c r="D23" s="49" t="n">
        <f aca="false">D17*Assumptions!$E$64*$C$11</f>
        <v>12</v>
      </c>
      <c r="E23" s="49" t="n">
        <f aca="false">E17*Assumptions!$E$64*$C$11</f>
        <v>30</v>
      </c>
      <c r="F23" s="49" t="n">
        <f aca="false">F17*Assumptions!$E$64*$C$11</f>
        <v>52.5</v>
      </c>
      <c r="I23" s="49" t="n">
        <f aca="false">I17*Assumptions!$E$64*$H$11</f>
        <v>7.8</v>
      </c>
      <c r="J23" s="49" t="n">
        <f aca="false">J17*Assumptions!$E$64*$H$11</f>
        <v>19.5</v>
      </c>
      <c r="K23" s="49" t="n">
        <f aca="false">K17*Assumptions!$E$64*$H$11</f>
        <v>34.125</v>
      </c>
      <c r="N23" s="49" t="n">
        <f aca="false">N17*Assumptions!$E$64*$M$11</f>
        <v>15.6</v>
      </c>
      <c r="O23" s="49" t="n">
        <f aca="false">O17*Assumptions!$E$64*$M$11</f>
        <v>39</v>
      </c>
      <c r="P23" s="49" t="n">
        <f aca="false">P17*Assumptions!$E$64*$M$11</f>
        <v>68.25</v>
      </c>
    </row>
    <row r="24" customFormat="false" ht="15" hidden="false" customHeight="false" outlineLevel="0" collapsed="false">
      <c r="A24" s="10" t="s">
        <v>562</v>
      </c>
      <c r="B24" s="36" t="s">
        <v>550</v>
      </c>
      <c r="D24" s="49" t="n">
        <f aca="false">C26</f>
        <v>0</v>
      </c>
      <c r="E24" s="49" t="n">
        <f aca="false">D26</f>
        <v>12</v>
      </c>
      <c r="F24" s="49" t="n">
        <f aca="false">E26</f>
        <v>40.56</v>
      </c>
      <c r="I24" s="49" t="n">
        <f aca="false">H26</f>
        <v>0</v>
      </c>
      <c r="J24" s="49" t="n">
        <f aca="false">I26</f>
        <v>7.8</v>
      </c>
      <c r="K24" s="49" t="n">
        <f aca="false">J26</f>
        <v>26.13</v>
      </c>
      <c r="N24" s="49" t="n">
        <f aca="false">M26</f>
        <v>0</v>
      </c>
      <c r="O24" s="49" t="n">
        <f aca="false">N26</f>
        <v>15.6</v>
      </c>
      <c r="P24" s="49" t="n">
        <f aca="false">O26</f>
        <v>52.962</v>
      </c>
    </row>
    <row r="25" customFormat="false" ht="15" hidden="false" customHeight="false" outlineLevel="0" collapsed="false">
      <c r="A25" s="10" t="s">
        <v>563</v>
      </c>
      <c r="B25" s="36" t="s">
        <v>550</v>
      </c>
      <c r="D25" s="49" t="n">
        <f aca="false">D24*MAX(0,Assumptions!$E$67+$C$13)</f>
        <v>0</v>
      </c>
      <c r="E25" s="49" t="n">
        <f aca="false">E24*MAX(0,Assumptions!$E$67+$C$13)</f>
        <v>1.44</v>
      </c>
      <c r="F25" s="49" t="n">
        <f aca="false">F24*MAX(0,Assumptions!$E$67+$C$13)</f>
        <v>4.8672</v>
      </c>
      <c r="I25" s="49" t="n">
        <f aca="false">I24*MAX(0,Assumptions!$E$67+$H$13)</f>
        <v>0</v>
      </c>
      <c r="J25" s="49" t="n">
        <f aca="false">J24*MAX(0,Assumptions!$E$67+$H$13)</f>
        <v>1.17</v>
      </c>
      <c r="K25" s="49" t="n">
        <f aca="false">K24*MAX(0,Assumptions!$E$67+$H$13)</f>
        <v>3.9195</v>
      </c>
      <c r="N25" s="49" t="n">
        <f aca="false">N24*MAX(0,Assumptions!$E$67+$M$13)</f>
        <v>0</v>
      </c>
      <c r="O25" s="49" t="n">
        <f aca="false">O24*MAX(0,Assumptions!$E$67+$M$13)</f>
        <v>1.638</v>
      </c>
      <c r="P25" s="49" t="n">
        <f aca="false">P24*MAX(0,Assumptions!$E$67+$M$13)</f>
        <v>5.56101</v>
      </c>
    </row>
    <row r="26" customFormat="false" ht="15" hidden="false" customHeight="false" outlineLevel="0" collapsed="false">
      <c r="A26" s="7" t="s">
        <v>564</v>
      </c>
      <c r="B26" s="36" t="s">
        <v>550</v>
      </c>
      <c r="C26" s="75" t="n">
        <v>0</v>
      </c>
      <c r="D26" s="75" t="n">
        <f aca="false">D24+D23-D25</f>
        <v>12</v>
      </c>
      <c r="E26" s="75" t="n">
        <f aca="false">E24+E23-E25</f>
        <v>40.56</v>
      </c>
      <c r="F26" s="75" t="n">
        <f aca="false">F24+F23-F25</f>
        <v>88.1928</v>
      </c>
      <c r="H26" s="75" t="n">
        <v>0</v>
      </c>
      <c r="I26" s="75" t="n">
        <f aca="false">I24+I23-I25</f>
        <v>7.8</v>
      </c>
      <c r="J26" s="75" t="n">
        <f aca="false">J24+J23-J25</f>
        <v>26.13</v>
      </c>
      <c r="K26" s="75" t="n">
        <f aca="false">K24+K23-K25</f>
        <v>56.3355</v>
      </c>
      <c r="M26" s="75" t="n">
        <v>0</v>
      </c>
      <c r="N26" s="75" t="n">
        <f aca="false">N24+N23-N25</f>
        <v>15.6</v>
      </c>
      <c r="O26" s="75" t="n">
        <f aca="false">O24+O23-O25</f>
        <v>52.962</v>
      </c>
      <c r="P26" s="75" t="n">
        <f aca="false">P24+P23-P25</f>
        <v>115.65099</v>
      </c>
    </row>
    <row r="27" customFormat="false" ht="15" hidden="false" customHeight="false" outlineLevel="0" collapsed="false">
      <c r="A27" s="10" t="s">
        <v>565</v>
      </c>
      <c r="B27" s="36" t="s">
        <v>550</v>
      </c>
      <c r="D27" s="49" t="n">
        <f aca="false">(D24+D26)/2</f>
        <v>6</v>
      </c>
      <c r="E27" s="49" t="n">
        <f aca="false">(E24+E26)/2</f>
        <v>26.28</v>
      </c>
      <c r="F27" s="49" t="n">
        <f aca="false">(F24+F26)/2</f>
        <v>64.3764</v>
      </c>
      <c r="I27" s="49" t="n">
        <f aca="false">(I24+I26)/2</f>
        <v>3.9</v>
      </c>
      <c r="J27" s="49" t="n">
        <f aca="false">(J24+J26)/2</f>
        <v>16.965</v>
      </c>
      <c r="K27" s="49" t="n">
        <f aca="false">(K24+K26)/2</f>
        <v>41.23275</v>
      </c>
      <c r="N27" s="49" t="n">
        <f aca="false">(N24+N26)/2</f>
        <v>7.8</v>
      </c>
      <c r="O27" s="49" t="n">
        <f aca="false">(O24+O26)/2</f>
        <v>34.281</v>
      </c>
      <c r="P27" s="49" t="n">
        <f aca="false">(P24+P26)/2</f>
        <v>84.306495</v>
      </c>
    </row>
    <row r="28" customFormat="false" ht="15" hidden="false" customHeight="false" outlineLevel="0" collapsed="false">
      <c r="A28" s="10" t="s">
        <v>566</v>
      </c>
      <c r="B28" s="36" t="s">
        <v>550</v>
      </c>
      <c r="D28" s="49" t="n">
        <f aca="false">D17*Assumptions!$E$65*$C$11</f>
        <v>36</v>
      </c>
      <c r="E28" s="49" t="n">
        <f aca="false">E17*Assumptions!$E$65*$C$11</f>
        <v>90</v>
      </c>
      <c r="F28" s="49" t="n">
        <f aca="false">F17*Assumptions!$E$65*$C$11</f>
        <v>157.5</v>
      </c>
      <c r="I28" s="49" t="n">
        <f aca="false">I17*Assumptions!$E$65*$H$11</f>
        <v>23.4</v>
      </c>
      <c r="J28" s="49" t="n">
        <f aca="false">J17*Assumptions!$E$65*$H$11</f>
        <v>58.5</v>
      </c>
      <c r="K28" s="49" t="n">
        <f aca="false">K17*Assumptions!$E$65*$H$11</f>
        <v>102.375</v>
      </c>
      <c r="N28" s="49" t="n">
        <f aca="false">N17*Assumptions!$E$65*$M$11</f>
        <v>46.8</v>
      </c>
      <c r="O28" s="49" t="n">
        <f aca="false">O17*Assumptions!$E$65*$M$11</f>
        <v>117</v>
      </c>
      <c r="P28" s="49" t="n">
        <f aca="false">P17*Assumptions!$E$65*$M$11</f>
        <v>204.75</v>
      </c>
    </row>
    <row r="29" customFormat="false" ht="15" hidden="false" customHeight="false" outlineLevel="0" collapsed="false">
      <c r="A29" s="10" t="s">
        <v>567</v>
      </c>
      <c r="B29" s="36" t="s">
        <v>550</v>
      </c>
      <c r="D29" s="49" t="n">
        <f aca="false">C31</f>
        <v>0</v>
      </c>
      <c r="E29" s="49" t="n">
        <f aca="false">D31</f>
        <v>36</v>
      </c>
      <c r="F29" s="49" t="n">
        <f aca="false">E31</f>
        <v>118.8</v>
      </c>
      <c r="I29" s="49" t="n">
        <f aca="false">H31</f>
        <v>0</v>
      </c>
      <c r="J29" s="49" t="n">
        <f aca="false">I31</f>
        <v>23.4</v>
      </c>
      <c r="K29" s="49" t="n">
        <f aca="false">J31</f>
        <v>76.518</v>
      </c>
      <c r="N29" s="49" t="n">
        <f aca="false">M31</f>
        <v>0</v>
      </c>
      <c r="O29" s="49" t="n">
        <f aca="false">N31</f>
        <v>46.8</v>
      </c>
      <c r="P29" s="49" t="n">
        <f aca="false">O31</f>
        <v>155.142</v>
      </c>
    </row>
    <row r="30" customFormat="false" ht="15" hidden="false" customHeight="false" outlineLevel="0" collapsed="false">
      <c r="A30" s="10" t="s">
        <v>568</v>
      </c>
      <c r="B30" s="36" t="s">
        <v>550</v>
      </c>
      <c r="D30" s="49" t="n">
        <f aca="false">D29*MAX(0,Assumptions!$E$68+$C$13)</f>
        <v>0</v>
      </c>
      <c r="E30" s="49" t="n">
        <f aca="false">E29*MAX(0,Assumptions!$E$68+$C$13)</f>
        <v>7.2</v>
      </c>
      <c r="F30" s="49" t="n">
        <f aca="false">F29*MAX(0,Assumptions!$E$68+$C$13)</f>
        <v>23.76</v>
      </c>
      <c r="I30" s="49" t="n">
        <f aca="false">I29*MAX(0,Assumptions!$E$68+$H$13)</f>
        <v>0</v>
      </c>
      <c r="J30" s="49" t="n">
        <f aca="false">J29*MAX(0,Assumptions!$E$68+$H$13)</f>
        <v>5.382</v>
      </c>
      <c r="K30" s="49" t="n">
        <f aca="false">K29*MAX(0,Assumptions!$E$68+$H$13)</f>
        <v>17.59914</v>
      </c>
      <c r="N30" s="49" t="n">
        <f aca="false">N29*MAX(0,Assumptions!$E$68+$M$13)</f>
        <v>0</v>
      </c>
      <c r="O30" s="49" t="n">
        <f aca="false">O29*MAX(0,Assumptions!$E$68+$M$13)</f>
        <v>8.658</v>
      </c>
      <c r="P30" s="49" t="n">
        <f aca="false">P29*MAX(0,Assumptions!$E$68+$M$13)</f>
        <v>28.70127</v>
      </c>
    </row>
    <row r="31" customFormat="false" ht="15" hidden="false" customHeight="false" outlineLevel="0" collapsed="false">
      <c r="A31" s="7" t="s">
        <v>569</v>
      </c>
      <c r="B31" s="36" t="s">
        <v>550</v>
      </c>
      <c r="C31" s="75" t="n">
        <v>0</v>
      </c>
      <c r="D31" s="75" t="n">
        <f aca="false">D29+D28-D30</f>
        <v>36</v>
      </c>
      <c r="E31" s="75" t="n">
        <f aca="false">E29+E28-E30</f>
        <v>118.8</v>
      </c>
      <c r="F31" s="75" t="n">
        <f aca="false">F29+F28-F30</f>
        <v>252.54</v>
      </c>
      <c r="H31" s="75" t="n">
        <v>0</v>
      </c>
      <c r="I31" s="75" t="n">
        <f aca="false">I29+I28-I30</f>
        <v>23.4</v>
      </c>
      <c r="J31" s="75" t="n">
        <f aca="false">J29+J28-J30</f>
        <v>76.518</v>
      </c>
      <c r="K31" s="75" t="n">
        <f aca="false">K29+K28-K30</f>
        <v>161.29386</v>
      </c>
      <c r="M31" s="75" t="n">
        <v>0</v>
      </c>
      <c r="N31" s="75" t="n">
        <f aca="false">N29+N28-N30</f>
        <v>46.8</v>
      </c>
      <c r="O31" s="75" t="n">
        <f aca="false">O29+O28-O30</f>
        <v>155.142</v>
      </c>
      <c r="P31" s="75" t="n">
        <f aca="false">P29+P28-P30</f>
        <v>331.19073</v>
      </c>
    </row>
    <row r="32" customFormat="false" ht="15" hidden="false" customHeight="false" outlineLevel="0" collapsed="false">
      <c r="A32" s="10" t="s">
        <v>570</v>
      </c>
      <c r="B32" s="36" t="s">
        <v>550</v>
      </c>
      <c r="D32" s="49" t="n">
        <f aca="false">(D29+D31)/2</f>
        <v>18</v>
      </c>
      <c r="E32" s="49" t="n">
        <f aca="false">(E29+E31)/2</f>
        <v>77.4</v>
      </c>
      <c r="F32" s="49" t="n">
        <f aca="false">(F29+F31)/2</f>
        <v>185.67</v>
      </c>
      <c r="I32" s="49" t="n">
        <f aca="false">(I29+I31)/2</f>
        <v>11.7</v>
      </c>
      <c r="J32" s="49" t="n">
        <f aca="false">(J29+J31)/2</f>
        <v>49.959</v>
      </c>
      <c r="K32" s="49" t="n">
        <f aca="false">(K29+K31)/2</f>
        <v>118.90593</v>
      </c>
      <c r="N32" s="49" t="n">
        <f aca="false">(N29+N31)/2</f>
        <v>23.4</v>
      </c>
      <c r="O32" s="49" t="n">
        <f aca="false">(O29+O31)/2</f>
        <v>100.971</v>
      </c>
      <c r="P32" s="49" t="n">
        <f aca="false">(P29+P31)/2</f>
        <v>243.166365</v>
      </c>
    </row>
    <row r="33" customFormat="false" ht="15" hidden="false" customHeight="false" outlineLevel="0" collapsed="false">
      <c r="A33" s="10" t="s">
        <v>571</v>
      </c>
      <c r="B33" s="36" t="s">
        <v>550</v>
      </c>
      <c r="D33" s="49" t="n">
        <f aca="false">D18+D23+D28</f>
        <v>49.6</v>
      </c>
      <c r="E33" s="49" t="n">
        <f aca="false">E18+E23+E28</f>
        <v>124</v>
      </c>
      <c r="F33" s="49" t="n">
        <f aca="false">F18+F23+F28</f>
        <v>217</v>
      </c>
      <c r="I33" s="49" t="n">
        <f aca="false">I18+I23+I28</f>
        <v>32.24</v>
      </c>
      <c r="J33" s="49" t="n">
        <f aca="false">J18+J23+J28</f>
        <v>80.6</v>
      </c>
      <c r="K33" s="49" t="n">
        <f aca="false">K18+K23+K28</f>
        <v>141.05</v>
      </c>
      <c r="N33" s="49" t="n">
        <f aca="false">N18+N23+N28</f>
        <v>64.48</v>
      </c>
      <c r="O33" s="49" t="n">
        <f aca="false">O18+O23+O28</f>
        <v>161.2</v>
      </c>
      <c r="P33" s="49" t="n">
        <f aca="false">P18+P23+P28</f>
        <v>282.1</v>
      </c>
    </row>
    <row r="34" customFormat="false" ht="15" hidden="false" customHeight="false" outlineLevel="0" collapsed="false">
      <c r="A34" s="76" t="s">
        <v>572</v>
      </c>
      <c r="B34" s="77" t="s">
        <v>550</v>
      </c>
      <c r="C34" s="78" t="n">
        <f aca="false">C21+C26+C31</f>
        <v>0</v>
      </c>
      <c r="D34" s="78" t="n">
        <f aca="false">D21+D26+D31</f>
        <v>49.6</v>
      </c>
      <c r="E34" s="78" t="n">
        <f aca="false">E21+E26+E31</f>
        <v>164.832</v>
      </c>
      <c r="F34" s="78" t="n">
        <f aca="false">F21+F26+F31</f>
        <v>352.76704</v>
      </c>
      <c r="H34" s="78" t="n">
        <f aca="false">H21+H26+H31</f>
        <v>0</v>
      </c>
      <c r="I34" s="78" t="n">
        <f aca="false">I21+I26+I31</f>
        <v>32.24</v>
      </c>
      <c r="J34" s="78" t="n">
        <f aca="false">J21+J26+J31</f>
        <v>106.1736</v>
      </c>
      <c r="K34" s="78" t="n">
        <f aca="false">K21+K26+K31</f>
        <v>225.317144</v>
      </c>
      <c r="M34" s="78" t="n">
        <f aca="false">M21+M26+M31</f>
        <v>0</v>
      </c>
      <c r="N34" s="78" t="n">
        <f aca="false">N21+N26+N31</f>
        <v>64.48</v>
      </c>
      <c r="O34" s="78" t="n">
        <f aca="false">O21+O26+O31</f>
        <v>215.2488</v>
      </c>
      <c r="P34" s="78" t="n">
        <f aca="false">P21+P26+P31</f>
        <v>462.622108</v>
      </c>
    </row>
    <row r="36" customFormat="false" ht="15" hidden="false" customHeight="false" outlineLevel="0" collapsed="false">
      <c r="A36" s="4" t="s">
        <v>573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customFormat="false" ht="15" hidden="false" customHeight="false" outlineLevel="0" collapsed="false">
      <c r="A37" s="10" t="s">
        <v>574</v>
      </c>
      <c r="B37" s="36" t="s">
        <v>137</v>
      </c>
      <c r="D37" s="54" t="n">
        <f aca="false">(1+Assumptions!$C$22)^0*(1+Assumptions!$C$23)^0*$C$12</f>
        <v>1</v>
      </c>
      <c r="E37" s="54" t="n">
        <f aca="false">(1+Assumptions!$C$22)^1*(1+Assumptions!$C$23)^1*$C$12</f>
        <v>1.0609</v>
      </c>
      <c r="F37" s="54" t="n">
        <f aca="false">(1+Assumptions!$C$22)^2*(1+Assumptions!$C$23)^2*$C$12</f>
        <v>1.12550881</v>
      </c>
      <c r="I37" s="54" t="n">
        <f aca="false">(1+Assumptions!$C$22)^0*(1+Assumptions!$C$23)^0*$H$12</f>
        <v>0.9</v>
      </c>
      <c r="J37" s="54" t="n">
        <f aca="false">(1+Assumptions!$C$22)^1*(1+Assumptions!$C$23)^1*$H$12</f>
        <v>0.95481</v>
      </c>
      <c r="K37" s="54" t="n">
        <f aca="false">(1+Assumptions!$C$22)^2*(1+Assumptions!$C$23)^2*$H$12</f>
        <v>1.012957929</v>
      </c>
      <c r="N37" s="54" t="n">
        <f aca="false">(1+Assumptions!$C$22)^0*(1+Assumptions!$C$23)^0*$M$12</f>
        <v>1.08</v>
      </c>
      <c r="O37" s="54" t="n">
        <f aca="false">(1+Assumptions!$C$22)^1*(1+Assumptions!$C$23)^1*$M$12</f>
        <v>1.145772</v>
      </c>
      <c r="P37" s="54" t="n">
        <f aca="false">(1+Assumptions!$C$22)^2*(1+Assumptions!$C$23)^2*$M$12</f>
        <v>1.2155495148</v>
      </c>
    </row>
    <row r="38" customFormat="false" ht="15" hidden="false" customHeight="false" outlineLevel="0" collapsed="false">
      <c r="A38" s="10" t="s">
        <v>575</v>
      </c>
      <c r="B38" s="36" t="s">
        <v>169</v>
      </c>
      <c r="D38" s="53" t="n">
        <f aca="false">Assumptions!$C$51*D37</f>
        <v>65000</v>
      </c>
      <c r="E38" s="53" t="n">
        <f aca="false">Assumptions!$C$51*E37</f>
        <v>68958.5</v>
      </c>
      <c r="F38" s="53" t="n">
        <f aca="false">Assumptions!$C$51*F37</f>
        <v>73158.07265</v>
      </c>
      <c r="I38" s="53" t="n">
        <f aca="false">Assumptions!$C$51*I37</f>
        <v>58500</v>
      </c>
      <c r="J38" s="53" t="n">
        <f aca="false">Assumptions!$C$51*J37</f>
        <v>62062.65</v>
      </c>
      <c r="K38" s="53" t="n">
        <f aca="false">Assumptions!$C$51*K37</f>
        <v>65842.265385</v>
      </c>
      <c r="N38" s="53" t="n">
        <f aca="false">Assumptions!$C$51*N37</f>
        <v>70200</v>
      </c>
      <c r="O38" s="53" t="n">
        <f aca="false">Assumptions!$C$51*O37</f>
        <v>74475.18</v>
      </c>
      <c r="P38" s="53" t="n">
        <f aca="false">Assumptions!$C$51*P37</f>
        <v>79010.718462</v>
      </c>
    </row>
    <row r="39" customFormat="false" ht="15" hidden="false" customHeight="false" outlineLevel="0" collapsed="false">
      <c r="A39" s="10" t="s">
        <v>576</v>
      </c>
      <c r="B39" s="36" t="s">
        <v>169</v>
      </c>
      <c r="D39" s="53" t="n">
        <f aca="false">Assumptions!$D$51*D37</f>
        <v>22000</v>
      </c>
      <c r="E39" s="53" t="n">
        <f aca="false">Assumptions!$D$51*E37</f>
        <v>23339.8</v>
      </c>
      <c r="F39" s="53" t="n">
        <f aca="false">Assumptions!$D$51*F37</f>
        <v>24761.19382</v>
      </c>
      <c r="I39" s="53" t="n">
        <f aca="false">Assumptions!$D$51*I37</f>
        <v>19800</v>
      </c>
      <c r="J39" s="53" t="n">
        <f aca="false">Assumptions!$D$51*J37</f>
        <v>21005.82</v>
      </c>
      <c r="K39" s="53" t="n">
        <f aca="false">Assumptions!$D$51*K37</f>
        <v>22285.074438</v>
      </c>
      <c r="N39" s="53" t="n">
        <f aca="false">Assumptions!$D$51*N37</f>
        <v>23760</v>
      </c>
      <c r="O39" s="53" t="n">
        <f aca="false">Assumptions!$D$51*O37</f>
        <v>25206.984</v>
      </c>
      <c r="P39" s="53" t="n">
        <f aca="false">Assumptions!$D$51*P37</f>
        <v>26742.0893256</v>
      </c>
    </row>
    <row r="40" customFormat="false" ht="15" hidden="false" customHeight="false" outlineLevel="0" collapsed="false">
      <c r="A40" s="10" t="s">
        <v>577</v>
      </c>
      <c r="B40" s="36" t="s">
        <v>169</v>
      </c>
      <c r="D40" s="53" t="n">
        <f aca="false">Assumptions!$E$51*D37</f>
        <v>4800</v>
      </c>
      <c r="E40" s="53" t="n">
        <f aca="false">Assumptions!$E$51*E37</f>
        <v>5092.32</v>
      </c>
      <c r="F40" s="53" t="n">
        <f aca="false">Assumptions!$E$51*F37</f>
        <v>5402.442288</v>
      </c>
      <c r="I40" s="53" t="n">
        <f aca="false">Assumptions!$E$51*I37</f>
        <v>4320</v>
      </c>
      <c r="J40" s="53" t="n">
        <f aca="false">Assumptions!$E$51*J37</f>
        <v>4583.088</v>
      </c>
      <c r="K40" s="53" t="n">
        <f aca="false">Assumptions!$E$51*K37</f>
        <v>4862.1980592</v>
      </c>
      <c r="N40" s="53" t="n">
        <f aca="false">Assumptions!$E$51*N37</f>
        <v>5184</v>
      </c>
      <c r="O40" s="53" t="n">
        <f aca="false">Assumptions!$E$51*O37</f>
        <v>5499.7056</v>
      </c>
      <c r="P40" s="53" t="n">
        <f aca="false">Assumptions!$E$51*P37</f>
        <v>5834.63767104</v>
      </c>
    </row>
    <row r="41" customFormat="false" ht="15" hidden="false" customHeight="false" outlineLevel="0" collapsed="false">
      <c r="A41" s="10" t="s">
        <v>578</v>
      </c>
      <c r="B41" s="36" t="s">
        <v>169</v>
      </c>
      <c r="D41" s="53" t="n">
        <f aca="false">D22*D38</f>
        <v>52000</v>
      </c>
      <c r="E41" s="53" t="n">
        <f aca="false">E22*E38</f>
        <v>243837.256</v>
      </c>
      <c r="F41" s="53" t="n">
        <f aca="false">F22*F38</f>
        <v>640361.388874168</v>
      </c>
      <c r="I41" s="53" t="n">
        <f aca="false">I22*I38</f>
        <v>30420</v>
      </c>
      <c r="J41" s="53" t="n">
        <f aca="false">J22*J38</f>
        <v>141676.61742</v>
      </c>
      <c r="K41" s="53" t="n">
        <f aca="false">K22*K38</f>
        <v>369157.302595956</v>
      </c>
      <c r="N41" s="53" t="n">
        <f aca="false">N22*N38</f>
        <v>73008</v>
      </c>
      <c r="O41" s="53" t="n">
        <f aca="false">O22*O38</f>
        <v>343509.320232</v>
      </c>
      <c r="P41" s="53" t="n">
        <f aca="false">P22*P38</f>
        <v>905667.78737821</v>
      </c>
    </row>
    <row r="42" customFormat="false" ht="15" hidden="false" customHeight="false" outlineLevel="0" collapsed="false">
      <c r="A42" s="10" t="s">
        <v>579</v>
      </c>
      <c r="B42" s="36" t="s">
        <v>169</v>
      </c>
      <c r="D42" s="53" t="n">
        <f aca="false">D27*D39</f>
        <v>132000</v>
      </c>
      <c r="E42" s="53" t="n">
        <f aca="false">E27*E39</f>
        <v>613369.944</v>
      </c>
      <c r="F42" s="53" t="n">
        <f aca="false">F27*F39</f>
        <v>1594036.51783385</v>
      </c>
      <c r="I42" s="53" t="n">
        <f aca="false">I27*I39</f>
        <v>77220</v>
      </c>
      <c r="J42" s="53" t="n">
        <f aca="false">J27*J39</f>
        <v>356363.7363</v>
      </c>
      <c r="K42" s="53" t="n">
        <f aca="false">K27*K39</f>
        <v>918874.903033444</v>
      </c>
      <c r="N42" s="53" t="n">
        <f aca="false">N27*N39</f>
        <v>185328</v>
      </c>
      <c r="O42" s="53" t="n">
        <f aca="false">O27*O39</f>
        <v>864120.618504</v>
      </c>
      <c r="P42" s="53" t="n">
        <f aca="false">P27*P39</f>
        <v>2254531.82001825</v>
      </c>
    </row>
    <row r="43" customFormat="false" ht="15" hidden="false" customHeight="false" outlineLevel="0" collapsed="false">
      <c r="A43" s="10" t="s">
        <v>580</v>
      </c>
      <c r="B43" s="36" t="s">
        <v>169</v>
      </c>
      <c r="D43" s="53" t="n">
        <f aca="false">D32*D40</f>
        <v>86400</v>
      </c>
      <c r="E43" s="53" t="n">
        <f aca="false">E32*E40</f>
        <v>394145.568</v>
      </c>
      <c r="F43" s="53" t="n">
        <f aca="false">F32*F40</f>
        <v>1003071.45961296</v>
      </c>
      <c r="I43" s="53" t="n">
        <f aca="false">I32*I40</f>
        <v>50544</v>
      </c>
      <c r="J43" s="53" t="n">
        <f aca="false">J32*J40</f>
        <v>228966.493392</v>
      </c>
      <c r="K43" s="53" t="n">
        <f aca="false">K32*K40</f>
        <v>578144.182073371</v>
      </c>
      <c r="N43" s="53" t="n">
        <f aca="false">N32*N40</f>
        <v>121305.6</v>
      </c>
      <c r="O43" s="53" t="n">
        <f aca="false">O32*O40</f>
        <v>555310.7741376</v>
      </c>
      <c r="P43" s="53" t="n">
        <f aca="false">P32*P40</f>
        <v>1418787.63355886</v>
      </c>
    </row>
    <row r="44" customFormat="false" ht="15" hidden="false" customHeight="false" outlineLevel="0" collapsed="false">
      <c r="A44" s="7" t="s">
        <v>581</v>
      </c>
      <c r="B44" s="36" t="s">
        <v>169</v>
      </c>
      <c r="D44" s="52" t="n">
        <f aca="false">D41+D42+D43</f>
        <v>270400</v>
      </c>
      <c r="E44" s="52" t="n">
        <f aca="false">E41+E42+E43</f>
        <v>1251352.768</v>
      </c>
      <c r="F44" s="52" t="n">
        <f aca="false">F41+F42+F43</f>
        <v>3237469.36632098</v>
      </c>
      <c r="I44" s="52" t="n">
        <f aca="false">I41+I42+I43</f>
        <v>158184</v>
      </c>
      <c r="J44" s="52" t="n">
        <f aca="false">J41+J42+J43</f>
        <v>727006.847112</v>
      </c>
      <c r="K44" s="52" t="n">
        <f aca="false">K41+K42+K43</f>
        <v>1866176.38770277</v>
      </c>
      <c r="N44" s="52" t="n">
        <f aca="false">N41+N42+N43</f>
        <v>379641.6</v>
      </c>
      <c r="O44" s="52" t="n">
        <f aca="false">O41+O42+O43</f>
        <v>1762940.7128736</v>
      </c>
      <c r="P44" s="52" t="n">
        <f aca="false">P41+P42+P43</f>
        <v>4578987.24095532</v>
      </c>
    </row>
    <row r="45" customFormat="false" ht="15" hidden="false" customHeight="false" outlineLevel="0" collapsed="false">
      <c r="A45" s="10" t="s">
        <v>582</v>
      </c>
      <c r="B45" s="36" t="s">
        <v>169</v>
      </c>
      <c r="D45" s="53" t="n">
        <f aca="false">-D44*Assumptions!$E$57</f>
        <v>-94640</v>
      </c>
      <c r="E45" s="53" t="n">
        <f aca="false">-E44*Assumptions!$E$57</f>
        <v>-437973.4688</v>
      </c>
      <c r="F45" s="53" t="n">
        <f aca="false">-F44*Assumptions!$E$57</f>
        <v>-1133114.27821234</v>
      </c>
      <c r="I45" s="53" t="n">
        <f aca="false">-I44*Assumptions!$E$57</f>
        <v>-55364.4</v>
      </c>
      <c r="J45" s="53" t="n">
        <f aca="false">-J44*Assumptions!$E$57</f>
        <v>-254452.3964892</v>
      </c>
      <c r="K45" s="53" t="n">
        <f aca="false">-K44*Assumptions!$E$57</f>
        <v>-653161.73569597</v>
      </c>
      <c r="N45" s="53" t="n">
        <f aca="false">-N44*Assumptions!$E$57</f>
        <v>-132874.56</v>
      </c>
      <c r="O45" s="53" t="n">
        <f aca="false">-O44*Assumptions!$E$57</f>
        <v>-617029.24950576</v>
      </c>
      <c r="P45" s="53" t="n">
        <f aca="false">-P44*Assumptions!$E$57</f>
        <v>-1602645.53433436</v>
      </c>
    </row>
    <row r="46" customFormat="false" ht="15" hidden="false" customHeight="false" outlineLevel="0" collapsed="false">
      <c r="A46" s="7" t="s">
        <v>583</v>
      </c>
      <c r="B46" s="36" t="s">
        <v>169</v>
      </c>
      <c r="D46" s="52" t="n">
        <f aca="false">D44+D45</f>
        <v>175760</v>
      </c>
      <c r="E46" s="52" t="n">
        <f aca="false">E44+E45</f>
        <v>813379.2992</v>
      </c>
      <c r="F46" s="52" t="n">
        <f aca="false">F44+F45</f>
        <v>2104355.08810863</v>
      </c>
      <c r="I46" s="52" t="n">
        <f aca="false">I44+I45</f>
        <v>102819.6</v>
      </c>
      <c r="J46" s="52" t="n">
        <f aca="false">J44+J45</f>
        <v>472554.4506228</v>
      </c>
      <c r="K46" s="52" t="n">
        <f aca="false">K44+K45</f>
        <v>1213014.6520068</v>
      </c>
      <c r="N46" s="52" t="n">
        <f aca="false">N44+N45</f>
        <v>246767.04</v>
      </c>
      <c r="O46" s="52" t="n">
        <f aca="false">O44+O45</f>
        <v>1145911.46336784</v>
      </c>
      <c r="P46" s="52" t="n">
        <f aca="false">P44+P45</f>
        <v>2976341.70662096</v>
      </c>
    </row>
    <row r="47" customFormat="false" ht="15" hidden="false" customHeight="false" outlineLevel="0" collapsed="false">
      <c r="A47" s="10" t="s">
        <v>584</v>
      </c>
      <c r="B47" s="36" t="s">
        <v>169</v>
      </c>
      <c r="D47" s="53" t="n">
        <f aca="false">(D18*Assumptions!$C$52+D23*Assumptions!$D$52+D28*Assumptions!$E$52)*Assumptions!$E$58</f>
        <v>0</v>
      </c>
      <c r="E47" s="53" t="n">
        <f aca="false">(E18*Assumptions!$C$52+E23*Assumptions!$D$52+E28*Assumptions!$E$52)*Assumptions!$E$58</f>
        <v>0</v>
      </c>
      <c r="F47" s="53" t="n">
        <f aca="false">(F18*Assumptions!$C$52+F23*Assumptions!$D$52+F28*Assumptions!$E$52)*Assumptions!$E$58</f>
        <v>0</v>
      </c>
      <c r="I47" s="53" t="n">
        <f aca="false">(I18*Assumptions!$C$52+I23*Assumptions!$D$52+I28*Assumptions!$E$52)*Assumptions!$E$58</f>
        <v>0</v>
      </c>
      <c r="J47" s="53" t="n">
        <f aca="false">(J18*Assumptions!$C$52+J23*Assumptions!$D$52+J28*Assumptions!$E$52)*Assumptions!$E$58</f>
        <v>0</v>
      </c>
      <c r="K47" s="53" t="n">
        <f aca="false">(K18*Assumptions!$C$52+K23*Assumptions!$D$52+K28*Assumptions!$E$52)*Assumptions!$E$58</f>
        <v>0</v>
      </c>
      <c r="N47" s="53" t="n">
        <f aca="false">(N18*Assumptions!$C$52+N23*Assumptions!$D$52+N28*Assumptions!$E$52)*Assumptions!$E$58</f>
        <v>0</v>
      </c>
      <c r="O47" s="53" t="n">
        <f aca="false">(O18*Assumptions!$C$52+O23*Assumptions!$D$52+O28*Assumptions!$E$52)*Assumptions!$E$58</f>
        <v>0</v>
      </c>
      <c r="P47" s="53" t="n">
        <f aca="false">(P18*Assumptions!$C$52+P23*Assumptions!$D$52+P28*Assumptions!$E$52)*Assumptions!$E$58</f>
        <v>0</v>
      </c>
    </row>
    <row r="48" customFormat="false" ht="15" hidden="false" customHeight="false" outlineLevel="0" collapsed="false">
      <c r="A48" s="10" t="s">
        <v>585</v>
      </c>
      <c r="B48" s="36" t="s">
        <v>169</v>
      </c>
      <c r="D48" s="53" t="n">
        <f aca="false">D17*Assumptions!$E$61</f>
        <v>48000</v>
      </c>
      <c r="E48" s="53" t="n">
        <f aca="false">E17*Assumptions!$E$61</f>
        <v>120000</v>
      </c>
      <c r="F48" s="53" t="n">
        <f aca="false">F17*Assumptions!$E$61</f>
        <v>210000</v>
      </c>
      <c r="I48" s="53" t="n">
        <f aca="false">I17*Assumptions!$E$61</f>
        <v>48000</v>
      </c>
      <c r="J48" s="53" t="n">
        <f aca="false">J17*Assumptions!$E$61</f>
        <v>120000</v>
      </c>
      <c r="K48" s="53" t="n">
        <f aca="false">K17*Assumptions!$E$61</f>
        <v>210000</v>
      </c>
      <c r="N48" s="53" t="n">
        <f aca="false">N17*Assumptions!$E$61</f>
        <v>48000</v>
      </c>
      <c r="O48" s="53" t="n">
        <f aca="false">O17*Assumptions!$E$61</f>
        <v>120000</v>
      </c>
      <c r="P48" s="53" t="n">
        <f aca="false">P17*Assumptions!$E$61</f>
        <v>210000</v>
      </c>
    </row>
    <row r="49" customFormat="false" ht="15" hidden="false" customHeight="false" outlineLevel="0" collapsed="false">
      <c r="A49" s="76" t="s">
        <v>586</v>
      </c>
      <c r="B49" s="77" t="s">
        <v>169</v>
      </c>
      <c r="C49" s="79" t="n">
        <v>0</v>
      </c>
      <c r="D49" s="79" t="n">
        <f aca="false">D46+D47+D48</f>
        <v>223760</v>
      </c>
      <c r="E49" s="79" t="n">
        <f aca="false">E46+E47+E48</f>
        <v>933379.2992</v>
      </c>
      <c r="F49" s="79" t="n">
        <f aca="false">F46+F47+F48</f>
        <v>2314355.08810863</v>
      </c>
      <c r="H49" s="79" t="n">
        <v>0</v>
      </c>
      <c r="I49" s="79" t="n">
        <f aca="false">I46+I47+I48</f>
        <v>150819.6</v>
      </c>
      <c r="J49" s="79" t="n">
        <f aca="false">J46+J47+J48</f>
        <v>592554.4506228</v>
      </c>
      <c r="K49" s="79" t="n">
        <f aca="false">K46+K47+K48</f>
        <v>1423014.6520068</v>
      </c>
      <c r="M49" s="79" t="n">
        <v>0</v>
      </c>
      <c r="N49" s="79" t="n">
        <f aca="false">N46+N47+N48</f>
        <v>294767.04</v>
      </c>
      <c r="O49" s="79" t="n">
        <f aca="false">O46+O47+O48</f>
        <v>1265911.46336784</v>
      </c>
      <c r="P49" s="79" t="n">
        <f aca="false">P46+P47+P48</f>
        <v>3186341.70662096</v>
      </c>
    </row>
    <row r="50" customFormat="false" ht="15" hidden="false" customHeight="false" outlineLevel="0" collapsed="false">
      <c r="A50" s="7" t="s">
        <v>587</v>
      </c>
      <c r="B50" s="36" t="s">
        <v>169</v>
      </c>
      <c r="C50" s="52" t="n">
        <v>0</v>
      </c>
      <c r="D50" s="52" t="n">
        <f aca="false">(D21*D38+D26*D39+D31*D40)*(1-Assumptions!$E$57)</f>
        <v>351520</v>
      </c>
      <c r="E50" s="52" t="n">
        <f aca="false">(E21*E38+E26*E39+E31*E40)*(1-Assumptions!$E$57)</f>
        <v>1253831.0304</v>
      </c>
      <c r="F50" s="52" t="n">
        <f aca="false">(F21*F38+F26*F39+F31*F40)*(1-Assumptions!$E$57)</f>
        <v>2878520.83606591</v>
      </c>
      <c r="H50" s="52" t="n">
        <v>0</v>
      </c>
      <c r="I50" s="52" t="n">
        <f aca="false">(I21*I38+I26*I39+I31*I40)*(1-Assumptions!$E$57)</f>
        <v>205639.2</v>
      </c>
      <c r="J50" s="52" t="n">
        <f aca="false">(J21*J38+J26*J39+J31*J40)*(1-Assumptions!$E$57)</f>
        <v>726946.2739656</v>
      </c>
      <c r="K50" s="52" t="n">
        <f aca="false">(K21*K38+K26*K39+K31*K40)*(1-Assumptions!$E$57)</f>
        <v>1654812.0019635</v>
      </c>
      <c r="M50" s="52" t="n">
        <v>0</v>
      </c>
      <c r="N50" s="52" t="n">
        <f aca="false">(N21*N38+N26*N39+N31*N40)*(1-Assumptions!$E$57)</f>
        <v>493534.08</v>
      </c>
      <c r="O50" s="52" t="n">
        <f aca="false">(O21*O38+O26*O39+O31*O40)*(1-Assumptions!$E$57)</f>
        <v>1768232.62126368</v>
      </c>
      <c r="P50" s="52" t="n">
        <f aca="false">(P21*P38+P26*P39+P31*P40)*(1-Assumptions!$E$57)</f>
        <v>4076765.42534328</v>
      </c>
    </row>
    <row r="52" customFormat="false" ht="15" hidden="false" customHeight="false" outlineLevel="0" collapsed="false">
      <c r="A52" s="4" t="s">
        <v>588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customFormat="false" ht="15" hidden="false" customHeight="false" outlineLevel="0" collapsed="false">
      <c r="A53" s="10" t="s">
        <v>589</v>
      </c>
      <c r="B53" s="36" t="s">
        <v>169</v>
      </c>
      <c r="D53" s="53" t="n">
        <f aca="false">D46*Assumptions!$C$31</f>
        <v>21091.2</v>
      </c>
      <c r="E53" s="53" t="n">
        <f aca="false">E46*Assumptions!$C$31</f>
        <v>97605.515904</v>
      </c>
      <c r="F53" s="53" t="n">
        <f aca="false">F46*Assumptions!$C$31</f>
        <v>252522.610573036</v>
      </c>
      <c r="I53" s="53" t="n">
        <f aca="false">I46*Assumptions!$C$31</f>
        <v>12338.352</v>
      </c>
      <c r="J53" s="53" t="n">
        <f aca="false">J46*Assumptions!$C$31</f>
        <v>56706.534074736</v>
      </c>
      <c r="K53" s="53" t="n">
        <f aca="false">K46*Assumptions!$C$31</f>
        <v>145561.758240816</v>
      </c>
      <c r="N53" s="53" t="n">
        <f aca="false">N46*Assumptions!$C$31</f>
        <v>29612.0448</v>
      </c>
      <c r="O53" s="53" t="n">
        <f aca="false">O46*Assumptions!$C$31</f>
        <v>137509.375604141</v>
      </c>
      <c r="P53" s="53" t="n">
        <f aca="false">P46*Assumptions!$C$31</f>
        <v>357161.004794515</v>
      </c>
    </row>
    <row r="54" customFormat="false" ht="15" hidden="false" customHeight="false" outlineLevel="0" collapsed="false">
      <c r="A54" s="10" t="s">
        <v>590</v>
      </c>
      <c r="B54" s="36" t="s">
        <v>169</v>
      </c>
      <c r="D54" s="53" t="n">
        <f aca="false">D47*(1-Assumptions!$E$59)</f>
        <v>0</v>
      </c>
      <c r="E54" s="53" t="n">
        <f aca="false">E47*(1-Assumptions!$E$59)</f>
        <v>0</v>
      </c>
      <c r="F54" s="53" t="n">
        <f aca="false">F47*(1-Assumptions!$E$59)</f>
        <v>0</v>
      </c>
      <c r="I54" s="53" t="n">
        <f aca="false">I47*(1-Assumptions!$E$59)</f>
        <v>0</v>
      </c>
      <c r="J54" s="53" t="n">
        <f aca="false">J47*(1-Assumptions!$E$59)</f>
        <v>0</v>
      </c>
      <c r="K54" s="53" t="n">
        <f aca="false">K47*(1-Assumptions!$E$59)</f>
        <v>0</v>
      </c>
      <c r="N54" s="53" t="n">
        <f aca="false">N47*(1-Assumptions!$E$59)</f>
        <v>0</v>
      </c>
      <c r="O54" s="53" t="n">
        <f aca="false">O47*(1-Assumptions!$E$59)</f>
        <v>0</v>
      </c>
      <c r="P54" s="53" t="n">
        <f aca="false">P47*(1-Assumptions!$E$59)</f>
        <v>0</v>
      </c>
    </row>
    <row r="55" customFormat="false" ht="15" hidden="false" customHeight="false" outlineLevel="0" collapsed="false">
      <c r="A55" s="10" t="s">
        <v>591</v>
      </c>
      <c r="B55" s="36" t="s">
        <v>169</v>
      </c>
      <c r="D55" s="53" t="n">
        <f aca="false">(D22*Assumptions!$C$53+D27*Assumptions!$D$53+D32*Assumptions!$E$53)*Assumptions!$E$62*(1+Assumptions!$C$21)^0</f>
        <v>10800</v>
      </c>
      <c r="E55" s="53" t="n">
        <f aca="false">(E22*Assumptions!$C$53+E27*Assumptions!$D$53+E32*Assumptions!$E$53)*Assumptions!$E$62*(1+Assumptions!$C$21)^1</f>
        <v>48976.512</v>
      </c>
      <c r="F55" s="53" t="n">
        <f aca="false">(F22*Assumptions!$C$53+F27*Assumptions!$D$53+F32*Assumptions!$E$53)*Assumptions!$E$62*(1+Assumptions!$C$21)^2</f>
        <v>124159.805952</v>
      </c>
      <c r="I55" s="53" t="n">
        <f aca="false">(I22*Assumptions!$C$53+I27*Assumptions!$D$53+I32*Assumptions!$E$53)*Assumptions!$E$62*(1+Assumptions!$C$21)^0</f>
        <v>7020</v>
      </c>
      <c r="J55" s="53" t="n">
        <f aca="false">(J22*Assumptions!$C$53+J27*Assumptions!$D$53+J32*Assumptions!$E$53)*Assumptions!$E$62*(1+Assumptions!$C$21)^1</f>
        <v>31615.7088</v>
      </c>
      <c r="K55" s="53" t="n">
        <f aca="false">(K22*Assumptions!$C$53+K27*Assumptions!$D$53+K32*Assumptions!$E$53)*Assumptions!$E$62*(1+Assumptions!$C$21)^2</f>
        <v>79521.46745088</v>
      </c>
      <c r="N55" s="53" t="n">
        <f aca="false">(N22*Assumptions!$C$53+N27*Assumptions!$D$53+N32*Assumptions!$E$53)*Assumptions!$E$62*(1+Assumptions!$C$21)^0</f>
        <v>14040</v>
      </c>
      <c r="O55" s="53" t="n">
        <f aca="false">(O22*Assumptions!$C$53+O27*Assumptions!$D$53+O32*Assumptions!$E$53)*Assumptions!$E$62*(1+Assumptions!$C$21)^1</f>
        <v>63888.4896</v>
      </c>
      <c r="P55" s="53" t="n">
        <f aca="false">(P22*Assumptions!$C$53+P27*Assumptions!$D$53+P32*Assumptions!$E$53)*Assumptions!$E$62*(1+Assumptions!$C$21)^2</f>
        <v>162600.40447872</v>
      </c>
    </row>
    <row r="56" customFormat="false" ht="15" hidden="false" customHeight="false" outlineLevel="0" collapsed="false">
      <c r="A56" s="7" t="s">
        <v>592</v>
      </c>
      <c r="B56" s="36" t="s">
        <v>169</v>
      </c>
      <c r="C56" s="52" t="n">
        <f aca="false">C53+C54+C55</f>
        <v>0</v>
      </c>
      <c r="D56" s="52" t="n">
        <f aca="false">D53+D54+D55</f>
        <v>31891.2</v>
      </c>
      <c r="E56" s="52" t="n">
        <f aca="false">E53+E54+E55</f>
        <v>146582.027904</v>
      </c>
      <c r="F56" s="52" t="n">
        <f aca="false">F53+F54+F55</f>
        <v>376682.416525036</v>
      </c>
      <c r="H56" s="52" t="n">
        <f aca="false">H53+H54+H55</f>
        <v>0</v>
      </c>
      <c r="I56" s="52" t="n">
        <f aca="false">I53+I54+I55</f>
        <v>19358.352</v>
      </c>
      <c r="J56" s="52" t="n">
        <f aca="false">J53+J54+J55</f>
        <v>88322.242874736</v>
      </c>
      <c r="K56" s="52" t="n">
        <f aca="false">K53+K54+K55</f>
        <v>225083.225691696</v>
      </c>
      <c r="M56" s="52" t="n">
        <f aca="false">M53+M54+M55</f>
        <v>0</v>
      </c>
      <c r="N56" s="52" t="n">
        <f aca="false">N53+N54+N55</f>
        <v>43652.0448</v>
      </c>
      <c r="O56" s="52" t="n">
        <f aca="false">O53+O54+O55</f>
        <v>201397.865204141</v>
      </c>
      <c r="P56" s="52" t="n">
        <f aca="false">P53+P54+P55</f>
        <v>519761.409273235</v>
      </c>
    </row>
    <row r="57" customFormat="false" ht="15" hidden="false" customHeight="false" outlineLevel="0" collapsed="false">
      <c r="A57" s="76" t="s">
        <v>593</v>
      </c>
      <c r="B57" s="77" t="s">
        <v>169</v>
      </c>
      <c r="C57" s="79" t="n">
        <f aca="false">C49-C56</f>
        <v>0</v>
      </c>
      <c r="D57" s="79" t="n">
        <f aca="false">D49-D56</f>
        <v>191868.8</v>
      </c>
      <c r="E57" s="79" t="n">
        <f aca="false">E49-E56</f>
        <v>786797.271296</v>
      </c>
      <c r="F57" s="79" t="n">
        <f aca="false">F49-F56</f>
        <v>1937672.6715836</v>
      </c>
      <c r="H57" s="79" t="n">
        <f aca="false">H49-H56</f>
        <v>0</v>
      </c>
      <c r="I57" s="79" t="n">
        <f aca="false">I49-I56</f>
        <v>131461.248</v>
      </c>
      <c r="J57" s="79" t="n">
        <f aca="false">J49-J56</f>
        <v>504232.207748064</v>
      </c>
      <c r="K57" s="79" t="n">
        <f aca="false">K49-K56</f>
        <v>1197931.42631511</v>
      </c>
      <c r="M57" s="79" t="n">
        <f aca="false">M49-M56</f>
        <v>0</v>
      </c>
      <c r="N57" s="79" t="n">
        <f aca="false">N49-N56</f>
        <v>251114.9952</v>
      </c>
      <c r="O57" s="79" t="n">
        <f aca="false">O49-O56</f>
        <v>1064513.5981637</v>
      </c>
      <c r="P57" s="79" t="n">
        <f aca="false">P49-P56</f>
        <v>2666580.29734773</v>
      </c>
    </row>
    <row r="58" customFormat="false" ht="15" hidden="false" customHeight="false" outlineLevel="0" collapsed="false">
      <c r="A58" s="10" t="s">
        <v>594</v>
      </c>
      <c r="B58" s="36" t="s">
        <v>127</v>
      </c>
      <c r="D58" s="46" t="n">
        <f aca="false">IF(D49=0,0,D57/D49)</f>
        <v>0.857475867000358</v>
      </c>
      <c r="E58" s="46" t="n">
        <f aca="false">IF(E49=0,0,E57/E49)</f>
        <v>0.842955561549698</v>
      </c>
      <c r="F58" s="46" t="n">
        <f aca="false">IF(F49=0,0,F57/F49)</f>
        <v>0.837240871783045</v>
      </c>
      <c r="I58" s="46" t="n">
        <f aca="false">IF(I49=0,0,I57/I49)</f>
        <v>0.871645648178354</v>
      </c>
      <c r="J58" s="46" t="n">
        <f aca="false">IF(J49=0,0,J57/J49)</f>
        <v>0.850946621391662</v>
      </c>
      <c r="K58" s="46" t="n">
        <f aca="false">IF(K49=0,0,K57/K49)</f>
        <v>0.841826487609054</v>
      </c>
      <c r="N58" s="46" t="n">
        <f aca="false">IF(N49=0,0,N57/N49)</f>
        <v>0.851910020876147</v>
      </c>
      <c r="O58" s="46" t="n">
        <f aca="false">IF(O49=0,0,O57/O49)</f>
        <v>0.840906831929351</v>
      </c>
      <c r="P58" s="46" t="n">
        <f aca="false">IF(P49=0,0,P57/P49)</f>
        <v>0.836878320930485</v>
      </c>
    </row>
    <row r="60" customFormat="false" ht="15" hidden="false" customHeight="false" outlineLevel="0" collapsed="false">
      <c r="A60" s="4" t="s">
        <v>595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customFormat="false" ht="15" hidden="false" customHeight="false" outlineLevel="0" collapsed="false">
      <c r="A61" s="10" t="s">
        <v>596</v>
      </c>
      <c r="B61" s="36" t="s">
        <v>276</v>
      </c>
      <c r="C61" s="49" t="n">
        <v>0</v>
      </c>
      <c r="D61" s="49" t="n">
        <f aca="false">Assumptions!$C$130+Assumptions!$C$131+Assumptions!$C$132+Assumptions!$C$133+Assumptions!$C$134+Assumptions!$C$135+Assumptions!$C$136</f>
        <v>5.5</v>
      </c>
      <c r="E61" s="49" t="n">
        <f aca="false">Assumptions!$D$130+Assumptions!$D$131+Assumptions!$D$132+Assumptions!$D$133+Assumptions!$D$134+Assumptions!$D$135+Assumptions!$D$136</f>
        <v>7</v>
      </c>
      <c r="F61" s="49" t="n">
        <f aca="false">Assumptions!$E$130+Assumptions!$E$131+Assumptions!$E$132+Assumptions!$E$133+Assumptions!$E$134+Assumptions!$E$135+Assumptions!$E$136</f>
        <v>7</v>
      </c>
      <c r="H61" s="49" t="n">
        <v>0</v>
      </c>
      <c r="I61" s="49" t="n">
        <f aca="false">Assumptions!$C$130+Assumptions!$C$131+Assumptions!$C$132+Assumptions!$C$133+Assumptions!$C$134+Assumptions!$C$135+Assumptions!$C$136</f>
        <v>5.5</v>
      </c>
      <c r="J61" s="49" t="n">
        <f aca="false">Assumptions!$D$130+Assumptions!$D$131+Assumptions!$D$132+Assumptions!$D$133+Assumptions!$D$134+Assumptions!$D$135+Assumptions!$D$136</f>
        <v>7</v>
      </c>
      <c r="K61" s="49" t="n">
        <f aca="false">Assumptions!$E$130+Assumptions!$E$131+Assumptions!$E$132+Assumptions!$E$133+Assumptions!$E$134+Assumptions!$E$135+Assumptions!$E$136</f>
        <v>7</v>
      </c>
      <c r="M61" s="49" t="n">
        <v>0</v>
      </c>
      <c r="N61" s="49" t="n">
        <f aca="false">Assumptions!$C$130+Assumptions!$C$131+Assumptions!$C$132+Assumptions!$C$133+Assumptions!$C$134+Assumptions!$C$135+Assumptions!$C$136</f>
        <v>5.5</v>
      </c>
      <c r="O61" s="49" t="n">
        <f aca="false">Assumptions!$D$130+Assumptions!$D$131+Assumptions!$D$132+Assumptions!$D$133+Assumptions!$D$134+Assumptions!$D$135+Assumptions!$D$136</f>
        <v>7</v>
      </c>
      <c r="P61" s="49" t="n">
        <f aca="false">Assumptions!$E$130+Assumptions!$E$131+Assumptions!$E$132+Assumptions!$E$133+Assumptions!$E$134+Assumptions!$E$135+Assumptions!$E$136</f>
        <v>7</v>
      </c>
    </row>
    <row r="62" customFormat="false" ht="15" hidden="false" customHeight="false" outlineLevel="0" collapsed="false">
      <c r="A62" s="10" t="s">
        <v>597</v>
      </c>
      <c r="B62" s="36" t="s">
        <v>169</v>
      </c>
      <c r="D62" s="53" t="n">
        <f aca="false">Assumptions!$C$130*Assumptions!$C$73*Assumptions!$C$20*(1+Assumptions!$C$19)*(1+Assumptions!$C$21)^0*$C$14</f>
        <v>478400</v>
      </c>
      <c r="E62" s="53" t="n">
        <f aca="false">Assumptions!$D$130*Assumptions!$C$73*Assumptions!$C$20*(1+Assumptions!$C$19)*(1+Assumptions!$C$21)^1*$C$14</f>
        <v>497536</v>
      </c>
      <c r="F62" s="53" t="n">
        <f aca="false">Assumptions!$E$130*Assumptions!$C$73*Assumptions!$C$20*(1+Assumptions!$C$19)*(1+Assumptions!$C$21)^2*$C$14</f>
        <v>517437.44</v>
      </c>
      <c r="I62" s="53" t="n">
        <f aca="false">Assumptions!$C$130*Assumptions!$C$73*Assumptions!$C$20*(1+Assumptions!$C$19)*(1+Assumptions!$C$21)^0*$H$14</f>
        <v>502320</v>
      </c>
      <c r="J62" s="53" t="n">
        <f aca="false">Assumptions!$D$130*Assumptions!$C$73*Assumptions!$C$20*(1+Assumptions!$C$19)*(1+Assumptions!$C$21)^1*$H$14</f>
        <v>522412.8</v>
      </c>
      <c r="K62" s="53" t="n">
        <f aca="false">Assumptions!$E$130*Assumptions!$C$73*Assumptions!$C$20*(1+Assumptions!$C$19)*(1+Assumptions!$C$21)^2*$H$14</f>
        <v>543309.312</v>
      </c>
      <c r="N62" s="53" t="n">
        <f aca="false">Assumptions!$C$130*Assumptions!$C$73*Assumptions!$C$20*(1+Assumptions!$C$19)*(1+Assumptions!$C$21)^0*$M$14</f>
        <v>478400</v>
      </c>
      <c r="O62" s="53" t="n">
        <f aca="false">Assumptions!$D$130*Assumptions!$C$73*Assumptions!$C$20*(1+Assumptions!$C$19)*(1+Assumptions!$C$21)^1*$M$14</f>
        <v>497536</v>
      </c>
      <c r="P62" s="53" t="n">
        <f aca="false">Assumptions!$E$130*Assumptions!$C$73*Assumptions!$C$20*(1+Assumptions!$C$19)*(1+Assumptions!$C$21)^2*$M$14</f>
        <v>517437.44</v>
      </c>
    </row>
    <row r="63" customFormat="false" ht="15" hidden="false" customHeight="false" outlineLevel="0" collapsed="false">
      <c r="A63" s="10" t="s">
        <v>598</v>
      </c>
      <c r="B63" s="36" t="s">
        <v>169</v>
      </c>
      <c r="D63" s="53" t="n">
        <f aca="false">Assumptions!$C$131*Assumptions!$C$74*Assumptions!$C$20*(1+Assumptions!$C$19)*(1+Assumptions!$C$21)^0*$C$14</f>
        <v>0</v>
      </c>
      <c r="E63" s="53" t="n">
        <f aca="false">Assumptions!$D$131*Assumptions!$C$74*Assumptions!$C$20*(1+Assumptions!$C$19)*(1+Assumptions!$C$21)^1*$C$14</f>
        <v>0</v>
      </c>
      <c r="F63" s="53" t="n">
        <f aca="false">Assumptions!$E$131*Assumptions!$C$74*Assumptions!$C$20*(1+Assumptions!$C$19)*(1+Assumptions!$C$21)^2*$C$14</f>
        <v>0</v>
      </c>
      <c r="I63" s="53" t="n">
        <f aca="false">Assumptions!$C$131*Assumptions!$C$74*Assumptions!$C$20*(1+Assumptions!$C$19)*(1+Assumptions!$C$21)^0*$H$14</f>
        <v>0</v>
      </c>
      <c r="J63" s="53" t="n">
        <f aca="false">Assumptions!$D$131*Assumptions!$C$74*Assumptions!$C$20*(1+Assumptions!$C$19)*(1+Assumptions!$C$21)^1*$H$14</f>
        <v>0</v>
      </c>
      <c r="K63" s="53" t="n">
        <f aca="false">Assumptions!$E$131*Assumptions!$C$74*Assumptions!$C$20*(1+Assumptions!$C$19)*(1+Assumptions!$C$21)^2*$H$14</f>
        <v>0</v>
      </c>
      <c r="N63" s="53" t="n">
        <f aca="false">Assumptions!$C$131*Assumptions!$C$74*Assumptions!$C$20*(1+Assumptions!$C$19)*(1+Assumptions!$C$21)^0*$M$14</f>
        <v>0</v>
      </c>
      <c r="O63" s="53" t="n">
        <f aca="false">Assumptions!$D$131*Assumptions!$C$74*Assumptions!$C$20*(1+Assumptions!$C$19)*(1+Assumptions!$C$21)^1*$M$14</f>
        <v>0</v>
      </c>
      <c r="P63" s="53" t="n">
        <f aca="false">Assumptions!$E$131*Assumptions!$C$74*Assumptions!$C$20*(1+Assumptions!$C$19)*(1+Assumptions!$C$21)^2*$M$14</f>
        <v>0</v>
      </c>
    </row>
    <row r="64" customFormat="false" ht="15" hidden="false" customHeight="false" outlineLevel="0" collapsed="false">
      <c r="A64" s="10" t="s">
        <v>599</v>
      </c>
      <c r="B64" s="36" t="s">
        <v>169</v>
      </c>
      <c r="D64" s="53" t="n">
        <f aca="false">Assumptions!$C$132*Assumptions!$C$75*Assumptions!$C$20*(1+Assumptions!$C$19)*(1+Assumptions!$C$21)^0*$C$14</f>
        <v>194350</v>
      </c>
      <c r="E64" s="53" t="n">
        <f aca="false">Assumptions!$D$132*Assumptions!$C$75*Assumptions!$C$20*(1+Assumptions!$C$19)*(1+Assumptions!$C$21)^1*$C$14</f>
        <v>404248</v>
      </c>
      <c r="F64" s="53" t="n">
        <f aca="false">Assumptions!$E$132*Assumptions!$C$75*Assumptions!$C$20*(1+Assumptions!$C$19)*(1+Assumptions!$C$21)^2*$C$14</f>
        <v>420417.92</v>
      </c>
      <c r="I64" s="53" t="n">
        <f aca="false">Assumptions!$C$132*Assumptions!$C$75*Assumptions!$C$20*(1+Assumptions!$C$19)*(1+Assumptions!$C$21)^0*$H$14</f>
        <v>204067.5</v>
      </c>
      <c r="J64" s="53" t="n">
        <f aca="false">Assumptions!$D$132*Assumptions!$C$75*Assumptions!$C$20*(1+Assumptions!$C$19)*(1+Assumptions!$C$21)^1*$H$14</f>
        <v>424460.4</v>
      </c>
      <c r="K64" s="53" t="n">
        <f aca="false">Assumptions!$E$132*Assumptions!$C$75*Assumptions!$C$20*(1+Assumptions!$C$19)*(1+Assumptions!$C$21)^2*$H$14</f>
        <v>441438.816</v>
      </c>
      <c r="N64" s="53" t="n">
        <f aca="false">Assumptions!$C$132*Assumptions!$C$75*Assumptions!$C$20*(1+Assumptions!$C$19)*(1+Assumptions!$C$21)^0*$M$14</f>
        <v>194350</v>
      </c>
      <c r="O64" s="53" t="n">
        <f aca="false">Assumptions!$D$132*Assumptions!$C$75*Assumptions!$C$20*(1+Assumptions!$C$19)*(1+Assumptions!$C$21)^1*$M$14</f>
        <v>404248</v>
      </c>
      <c r="P64" s="53" t="n">
        <f aca="false">Assumptions!$E$132*Assumptions!$C$75*Assumptions!$C$20*(1+Assumptions!$C$19)*(1+Assumptions!$C$21)^2*$M$14</f>
        <v>420417.92</v>
      </c>
    </row>
    <row r="65" customFormat="false" ht="15" hidden="false" customHeight="false" outlineLevel="0" collapsed="false">
      <c r="A65" s="10" t="s">
        <v>600</v>
      </c>
      <c r="B65" s="36" t="s">
        <v>169</v>
      </c>
      <c r="D65" s="53" t="n">
        <f aca="false">Assumptions!$C$133*Assumptions!$C$76*Assumptions!$C$20*(1+Assumptions!$C$19)*(1+Assumptions!$C$21)^0*$C$14</f>
        <v>149500</v>
      </c>
      <c r="E65" s="53" t="n">
        <f aca="false">Assumptions!$D$133*Assumptions!$C$76*Assumptions!$C$20*(1+Assumptions!$C$19)*(1+Assumptions!$C$21)^1*$C$14</f>
        <v>155480</v>
      </c>
      <c r="F65" s="53" t="n">
        <f aca="false">Assumptions!$E$133*Assumptions!$C$76*Assumptions!$C$20*(1+Assumptions!$C$19)*(1+Assumptions!$C$21)^2*$C$14</f>
        <v>323398.4</v>
      </c>
      <c r="I65" s="53" t="n">
        <f aca="false">Assumptions!$C$133*Assumptions!$C$76*Assumptions!$C$20*(1+Assumptions!$C$19)*(1+Assumptions!$C$21)^0*$H$14</f>
        <v>156975</v>
      </c>
      <c r="J65" s="53" t="n">
        <f aca="false">Assumptions!$D$133*Assumptions!$C$76*Assumptions!$C$20*(1+Assumptions!$C$19)*(1+Assumptions!$C$21)^1*$H$14</f>
        <v>163254</v>
      </c>
      <c r="K65" s="53" t="n">
        <f aca="false">Assumptions!$E$133*Assumptions!$C$76*Assumptions!$C$20*(1+Assumptions!$C$19)*(1+Assumptions!$C$21)^2*$H$14</f>
        <v>339568.32</v>
      </c>
      <c r="N65" s="53" t="n">
        <f aca="false">Assumptions!$C$133*Assumptions!$C$76*Assumptions!$C$20*(1+Assumptions!$C$19)*(1+Assumptions!$C$21)^0*$M$14</f>
        <v>149500</v>
      </c>
      <c r="O65" s="53" t="n">
        <f aca="false">Assumptions!$D$133*Assumptions!$C$76*Assumptions!$C$20*(1+Assumptions!$C$19)*(1+Assumptions!$C$21)^1*$M$14</f>
        <v>155480</v>
      </c>
      <c r="P65" s="53" t="n">
        <f aca="false">Assumptions!$E$133*Assumptions!$C$76*Assumptions!$C$20*(1+Assumptions!$C$19)*(1+Assumptions!$C$21)^2*$M$14</f>
        <v>323398.4</v>
      </c>
    </row>
    <row r="66" customFormat="false" ht="15" hidden="false" customHeight="false" outlineLevel="0" collapsed="false">
      <c r="A66" s="10" t="s">
        <v>601</v>
      </c>
      <c r="B66" s="36" t="s">
        <v>169</v>
      </c>
      <c r="D66" s="53" t="n">
        <f aca="false">Assumptions!$C$134*Assumptions!$C$77*Assumptions!$C$20*(1+Assumptions!$C$19)*(1+Assumptions!$C$21)^0*$C$14</f>
        <v>119600</v>
      </c>
      <c r="E66" s="53" t="n">
        <f aca="false">Assumptions!$D$134*Assumptions!$C$77*Assumptions!$C$20*(1+Assumptions!$C$19)*(1+Assumptions!$C$21)^1*$C$14</f>
        <v>124384</v>
      </c>
      <c r="F66" s="53" t="n">
        <f aca="false">Assumptions!$E$134*Assumptions!$C$77*Assumptions!$C$20*(1+Assumptions!$C$19)*(1+Assumptions!$C$21)^2*$C$14</f>
        <v>129359.36</v>
      </c>
      <c r="I66" s="53" t="n">
        <f aca="false">Assumptions!$C$134*Assumptions!$C$77*Assumptions!$C$20*(1+Assumptions!$C$19)*(1+Assumptions!$C$21)^0*$H$14</f>
        <v>125580</v>
      </c>
      <c r="J66" s="53" t="n">
        <f aca="false">Assumptions!$D$134*Assumptions!$C$77*Assumptions!$C$20*(1+Assumptions!$C$19)*(1+Assumptions!$C$21)^1*$H$14</f>
        <v>130603.2</v>
      </c>
      <c r="K66" s="53" t="n">
        <f aca="false">Assumptions!$E$134*Assumptions!$C$77*Assumptions!$C$20*(1+Assumptions!$C$19)*(1+Assumptions!$C$21)^2*$H$14</f>
        <v>135827.328</v>
      </c>
      <c r="N66" s="53" t="n">
        <f aca="false">Assumptions!$C$134*Assumptions!$C$77*Assumptions!$C$20*(1+Assumptions!$C$19)*(1+Assumptions!$C$21)^0*$M$14</f>
        <v>119600</v>
      </c>
      <c r="O66" s="53" t="n">
        <f aca="false">Assumptions!$D$134*Assumptions!$C$77*Assumptions!$C$20*(1+Assumptions!$C$19)*(1+Assumptions!$C$21)^1*$M$14</f>
        <v>124384</v>
      </c>
      <c r="P66" s="53" t="n">
        <f aca="false">Assumptions!$E$134*Assumptions!$C$77*Assumptions!$C$20*(1+Assumptions!$C$19)*(1+Assumptions!$C$21)^2*$M$14</f>
        <v>129359.36</v>
      </c>
    </row>
    <row r="67" customFormat="false" ht="15" hidden="false" customHeight="false" outlineLevel="0" collapsed="false">
      <c r="A67" s="10" t="s">
        <v>602</v>
      </c>
      <c r="B67" s="36" t="s">
        <v>169</v>
      </c>
      <c r="D67" s="53" t="n">
        <f aca="false">Assumptions!$C$135*Assumptions!$C$78*Assumptions!$C$20*(1+Assumptions!$C$19)*(1+Assumptions!$C$21)^0*$C$14</f>
        <v>63537.5</v>
      </c>
      <c r="E67" s="53" t="n">
        <f aca="false">Assumptions!$D$135*Assumptions!$C$78*Assumptions!$C$20*(1+Assumptions!$C$19)*(1+Assumptions!$C$21)^1*$C$14</f>
        <v>132158</v>
      </c>
      <c r="F67" s="53" t="n">
        <f aca="false">Assumptions!$E$135*Assumptions!$C$78*Assumptions!$C$20*(1+Assumptions!$C$19)*(1+Assumptions!$C$21)^2*$C$14</f>
        <v>137444.32</v>
      </c>
      <c r="I67" s="53" t="n">
        <f aca="false">Assumptions!$C$135*Assumptions!$C$78*Assumptions!$C$20*(1+Assumptions!$C$19)*(1+Assumptions!$C$21)^0*$H$14</f>
        <v>66714.375</v>
      </c>
      <c r="J67" s="53" t="n">
        <f aca="false">Assumptions!$D$135*Assumptions!$C$78*Assumptions!$C$20*(1+Assumptions!$C$19)*(1+Assumptions!$C$21)^1*$H$14</f>
        <v>138765.9</v>
      </c>
      <c r="K67" s="53" t="n">
        <f aca="false">Assumptions!$E$135*Assumptions!$C$78*Assumptions!$C$20*(1+Assumptions!$C$19)*(1+Assumptions!$C$21)^2*$H$14</f>
        <v>144316.536</v>
      </c>
      <c r="N67" s="53" t="n">
        <f aca="false">Assumptions!$C$135*Assumptions!$C$78*Assumptions!$C$20*(1+Assumptions!$C$19)*(1+Assumptions!$C$21)^0*$M$14</f>
        <v>63537.5</v>
      </c>
      <c r="O67" s="53" t="n">
        <f aca="false">Assumptions!$D$135*Assumptions!$C$78*Assumptions!$C$20*(1+Assumptions!$C$19)*(1+Assumptions!$C$21)^1*$M$14</f>
        <v>132158</v>
      </c>
      <c r="P67" s="53" t="n">
        <f aca="false">Assumptions!$E$135*Assumptions!$C$78*Assumptions!$C$20*(1+Assumptions!$C$19)*(1+Assumptions!$C$21)^2*$M$14</f>
        <v>137444.32</v>
      </c>
    </row>
    <row r="68" customFormat="false" ht="15" hidden="false" customHeight="false" outlineLevel="0" collapsed="false">
      <c r="A68" s="10" t="s">
        <v>603</v>
      </c>
      <c r="B68" s="36" t="s">
        <v>169</v>
      </c>
      <c r="D68" s="53" t="n">
        <f aca="false">Assumptions!$C$136*Assumptions!$C$79*12*(1+Assumptions!$C$21)^0*$C$14</f>
        <v>360000</v>
      </c>
      <c r="E68" s="53" t="n">
        <f aca="false">Assumptions!$D$136*Assumptions!$C$79*12*(1+Assumptions!$C$21)^1*$C$14</f>
        <v>374400</v>
      </c>
      <c r="F68" s="53" t="n">
        <f aca="false">Assumptions!$E$136*Assumptions!$C$79*12*(1+Assumptions!$C$21)^2*$C$14</f>
        <v>0</v>
      </c>
      <c r="I68" s="53" t="n">
        <f aca="false">Assumptions!$C$136*Assumptions!$C$79*12*(1+Assumptions!$C$21)^0*$H$14</f>
        <v>378000</v>
      </c>
      <c r="J68" s="53" t="n">
        <f aca="false">Assumptions!$D$136*Assumptions!$C$79*12*(1+Assumptions!$C$21)^1*$H$14</f>
        <v>393120</v>
      </c>
      <c r="K68" s="53" t="n">
        <f aca="false">Assumptions!$E$136*Assumptions!$C$79*12*(1+Assumptions!$C$21)^2*$H$14</f>
        <v>0</v>
      </c>
      <c r="N68" s="53" t="n">
        <f aca="false">Assumptions!$C$136*Assumptions!$C$79*12*(1+Assumptions!$C$21)^0*$M$14</f>
        <v>360000</v>
      </c>
      <c r="O68" s="53" t="n">
        <f aca="false">Assumptions!$D$136*Assumptions!$C$79*12*(1+Assumptions!$C$21)^1*$M$14</f>
        <v>374400</v>
      </c>
      <c r="P68" s="53" t="n">
        <f aca="false">Assumptions!$E$136*Assumptions!$C$79*12*(1+Assumptions!$C$21)^2*$M$14</f>
        <v>0</v>
      </c>
    </row>
    <row r="69" customFormat="false" ht="15" hidden="false" customHeight="false" outlineLevel="0" collapsed="false">
      <c r="A69" s="10" t="s">
        <v>604</v>
      </c>
      <c r="B69" s="36" t="s">
        <v>169</v>
      </c>
      <c r="D69" s="53" t="n">
        <f aca="false">Assumptions!$C$137*Assumptions!$C$80*12*(1+Assumptions!$C$21)^0*$C$14</f>
        <v>960000</v>
      </c>
      <c r="E69" s="53" t="n">
        <f aca="false">Assumptions!$D$137*Assumptions!$C$80*12*(1+Assumptions!$C$21)^1*$C$14</f>
        <v>624000</v>
      </c>
      <c r="F69" s="53" t="n">
        <f aca="false">Assumptions!$E$137*Assumptions!$C$80*12*(1+Assumptions!$C$21)^2*$C$14</f>
        <v>519168</v>
      </c>
      <c r="I69" s="53" t="n">
        <f aca="false">Assumptions!$C$137*Assumptions!$C$80*12*(1+Assumptions!$C$21)^0*$H$14</f>
        <v>1008000</v>
      </c>
      <c r="J69" s="53" t="n">
        <f aca="false">Assumptions!$D$137*Assumptions!$C$80*12*(1+Assumptions!$C$21)^1*$H$14</f>
        <v>655200</v>
      </c>
      <c r="K69" s="53" t="n">
        <f aca="false">Assumptions!$E$137*Assumptions!$C$80*12*(1+Assumptions!$C$21)^2*$H$14</f>
        <v>545126.4</v>
      </c>
      <c r="N69" s="53" t="n">
        <f aca="false">Assumptions!$C$137*Assumptions!$C$80*12*(1+Assumptions!$C$21)^0*$M$14</f>
        <v>960000</v>
      </c>
      <c r="O69" s="53" t="n">
        <f aca="false">Assumptions!$D$137*Assumptions!$C$80*12*(1+Assumptions!$C$21)^1*$M$14</f>
        <v>624000</v>
      </c>
      <c r="P69" s="53" t="n">
        <f aca="false">Assumptions!$E$137*Assumptions!$C$80*12*(1+Assumptions!$C$21)^2*$M$14</f>
        <v>519168</v>
      </c>
    </row>
    <row r="70" customFormat="false" ht="15" hidden="false" customHeight="false" outlineLevel="0" collapsed="false">
      <c r="A70" s="10" t="s">
        <v>605</v>
      </c>
      <c r="B70" s="36" t="s">
        <v>169</v>
      </c>
      <c r="D70" s="53" t="n">
        <f aca="false">(D18*D38+D23*D39+D28*D40)*Assumptions!$E$60</f>
        <v>10816</v>
      </c>
      <c r="E70" s="53" t="n">
        <f aca="false">(E18*E38+E23*E39+E28*E40)*Assumptions!$E$60</f>
        <v>28686.736</v>
      </c>
      <c r="F70" s="53" t="n">
        <f aca="false">(F18*F38+F23*F39+F28*F40)*Assumptions!$E$60</f>
        <v>53259.0768892</v>
      </c>
      <c r="I70" s="53" t="n">
        <f aca="false">(I18*I38+I23*I39+I28*I40)*Assumptions!$E$60</f>
        <v>6327.36</v>
      </c>
      <c r="J70" s="53" t="n">
        <f aca="false">(J18*J38+J23*J39+J28*J40)*Assumptions!$E$60</f>
        <v>16781.74056</v>
      </c>
      <c r="K70" s="53" t="n">
        <f aca="false">(K18*K38+K23*K39+K28*K40)*Assumptions!$E$60</f>
        <v>31156.559980182</v>
      </c>
      <c r="N70" s="53" t="n">
        <f aca="false">(N18*N38+N23*N39+N28*N40)*Assumptions!$E$60</f>
        <v>15185.664</v>
      </c>
      <c r="O70" s="53" t="n">
        <f aca="false">(O18*O38+O23*O39+O28*O40)*Assumptions!$E$60</f>
        <v>40276.177344</v>
      </c>
      <c r="P70" s="53" t="n">
        <f aca="false">(P18*P38+P23*P39+P28*P40)*Assumptions!$E$60</f>
        <v>74775.7439524368</v>
      </c>
    </row>
    <row r="71" customFormat="false" ht="15" hidden="false" customHeight="false" outlineLevel="0" collapsed="false">
      <c r="A71" s="10" t="s">
        <v>606</v>
      </c>
      <c r="B71" s="36" t="s">
        <v>169</v>
      </c>
      <c r="D71" s="53" t="n">
        <f aca="false">Assumptions!$C$138*$C$14</f>
        <v>300000</v>
      </c>
      <c r="E71" s="53" t="n">
        <f aca="false">Assumptions!$D$138*$C$14</f>
        <v>400000</v>
      </c>
      <c r="F71" s="53" t="n">
        <f aca="false">Assumptions!$E$138*$C$14</f>
        <v>500000</v>
      </c>
      <c r="I71" s="53" t="n">
        <f aca="false">Assumptions!$C$138*$H$14</f>
        <v>315000</v>
      </c>
      <c r="J71" s="53" t="n">
        <f aca="false">Assumptions!$D$138*$H$14</f>
        <v>420000</v>
      </c>
      <c r="K71" s="53" t="n">
        <f aca="false">Assumptions!$E$138*$H$14</f>
        <v>525000</v>
      </c>
      <c r="N71" s="53" t="n">
        <f aca="false">Assumptions!$C$138*$M$14</f>
        <v>300000</v>
      </c>
      <c r="O71" s="53" t="n">
        <f aca="false">Assumptions!$D$138*$M$14</f>
        <v>400000</v>
      </c>
      <c r="P71" s="53" t="n">
        <f aca="false">Assumptions!$E$138*$M$14</f>
        <v>500000</v>
      </c>
    </row>
    <row r="72" customFormat="false" ht="15" hidden="false" customHeight="false" outlineLevel="0" collapsed="false">
      <c r="A72" s="10" t="s">
        <v>607</v>
      </c>
      <c r="B72" s="36" t="s">
        <v>169</v>
      </c>
      <c r="D72" s="53" t="n">
        <f aca="false">D61*Assumptions!$C$32*(1+Assumptions!$C$21)^0*$C$14</f>
        <v>132000</v>
      </c>
      <c r="E72" s="53" t="n">
        <f aca="false">E61*Assumptions!$C$32*(1+Assumptions!$C$21)^1*$C$14</f>
        <v>174720</v>
      </c>
      <c r="F72" s="53" t="n">
        <f aca="false">F61*Assumptions!$C$32*(1+Assumptions!$C$21)^2*$C$14</f>
        <v>181708.8</v>
      </c>
      <c r="I72" s="53" t="n">
        <f aca="false">I61*Assumptions!$C$32*(1+Assumptions!$C$21)^0*$H$14</f>
        <v>138600</v>
      </c>
      <c r="J72" s="53" t="n">
        <f aca="false">J61*Assumptions!$C$32*(1+Assumptions!$C$21)^1*$H$14</f>
        <v>183456</v>
      </c>
      <c r="K72" s="53" t="n">
        <f aca="false">K61*Assumptions!$C$32*(1+Assumptions!$C$21)^2*$H$14</f>
        <v>190794.24</v>
      </c>
      <c r="N72" s="53" t="n">
        <f aca="false">N61*Assumptions!$C$32*(1+Assumptions!$C$21)^0*$M$14</f>
        <v>132000</v>
      </c>
      <c r="O72" s="53" t="n">
        <f aca="false">O61*Assumptions!$C$32*(1+Assumptions!$C$21)^1*$M$14</f>
        <v>174720</v>
      </c>
      <c r="P72" s="53" t="n">
        <f aca="false">P61*Assumptions!$C$32*(1+Assumptions!$C$21)^2*$M$14</f>
        <v>181708.8</v>
      </c>
    </row>
    <row r="73" customFormat="false" ht="15" hidden="false" customHeight="false" outlineLevel="0" collapsed="false">
      <c r="A73" s="10" t="s">
        <v>608</v>
      </c>
      <c r="B73" s="36" t="s">
        <v>169</v>
      </c>
      <c r="D73" s="53" t="n">
        <f aca="false">Assumptions!$C$139*$C$14</f>
        <v>220000</v>
      </c>
      <c r="E73" s="53" t="n">
        <f aca="false">Assumptions!$D$139*$C$14</f>
        <v>250000</v>
      </c>
      <c r="F73" s="53" t="n">
        <f aca="false">Assumptions!$E$139*$C$14</f>
        <v>280000</v>
      </c>
      <c r="I73" s="53" t="n">
        <f aca="false">Assumptions!$C$139*$H$14</f>
        <v>231000</v>
      </c>
      <c r="J73" s="53" t="n">
        <f aca="false">Assumptions!$D$139*$H$14</f>
        <v>262500</v>
      </c>
      <c r="K73" s="53" t="n">
        <f aca="false">Assumptions!$E$139*$H$14</f>
        <v>294000</v>
      </c>
      <c r="N73" s="53" t="n">
        <f aca="false">Assumptions!$C$139*$M$14</f>
        <v>220000</v>
      </c>
      <c r="O73" s="53" t="n">
        <f aca="false">Assumptions!$D$139*$M$14</f>
        <v>250000</v>
      </c>
      <c r="P73" s="53" t="n">
        <f aca="false">Assumptions!$E$139*$M$14</f>
        <v>280000</v>
      </c>
    </row>
    <row r="74" customFormat="false" ht="15" hidden="false" customHeight="false" outlineLevel="0" collapsed="false">
      <c r="A74" s="10" t="s">
        <v>609</v>
      </c>
      <c r="B74" s="36" t="s">
        <v>169</v>
      </c>
      <c r="D74" s="53" t="n">
        <f aca="false">D49*Assumptions!$C$29</f>
        <v>3356.4</v>
      </c>
      <c r="E74" s="53" t="n">
        <f aca="false">E49*Assumptions!$C$29</f>
        <v>14000.689488</v>
      </c>
      <c r="F74" s="53" t="n">
        <f aca="false">F49*Assumptions!$C$29</f>
        <v>34715.3263216295</v>
      </c>
      <c r="I74" s="53" t="n">
        <f aca="false">I49*Assumptions!$C$29</f>
        <v>2262.294</v>
      </c>
      <c r="J74" s="53" t="n">
        <f aca="false">J49*Assumptions!$C$29</f>
        <v>8888.316759342</v>
      </c>
      <c r="K74" s="53" t="n">
        <f aca="false">K49*Assumptions!$C$29</f>
        <v>21345.219780102</v>
      </c>
      <c r="N74" s="53" t="n">
        <f aca="false">N49*Assumptions!$C$29</f>
        <v>4421.5056</v>
      </c>
      <c r="O74" s="53" t="n">
        <f aca="false">O49*Assumptions!$C$29</f>
        <v>18988.6719505176</v>
      </c>
      <c r="P74" s="53" t="n">
        <f aca="false">P49*Assumptions!$C$29</f>
        <v>47795.1255993144</v>
      </c>
    </row>
    <row r="75" customFormat="false" ht="15" hidden="false" customHeight="false" outlineLevel="0" collapsed="false">
      <c r="A75" s="7" t="s">
        <v>610</v>
      </c>
      <c r="B75" s="36" t="s">
        <v>169</v>
      </c>
      <c r="C75" s="52" t="n">
        <f aca="false">C62+C63+C64+C65+C66+C67+C68+C69+C70+C71+C72+C73+C74</f>
        <v>0</v>
      </c>
      <c r="D75" s="52" t="n">
        <f aca="false">D62+D63+D64+D65+D66+D67+D68+D69+D70+D71+D72+D73+D74</f>
        <v>2991559.9</v>
      </c>
      <c r="E75" s="52" t="n">
        <f aca="false">E62+E63+E64+E65+E66+E67+E68+E69+E70+E71+E72+E73+E74</f>
        <v>3179613.425488</v>
      </c>
      <c r="F75" s="52" t="n">
        <f aca="false">F62+F63+F64+F65+F66+F67+F68+F69+F70+F71+F72+F73+F74</f>
        <v>3096908.64321083</v>
      </c>
      <c r="H75" s="52" t="n">
        <f aca="false">H62+H63+H64+H65+H66+H67+H68+H69+H70+H71+H72+H73+H74</f>
        <v>0</v>
      </c>
      <c r="I75" s="52" t="n">
        <f aca="false">I62+I63+I64+I65+I66+I67+I68+I69+I70+I71+I72+I73+I74</f>
        <v>3134846.529</v>
      </c>
      <c r="J75" s="52" t="n">
        <f aca="false">J62+J63+J64+J65+J66+J67+J68+J69+J70+J71+J72+J73+J74</f>
        <v>3319442.35731934</v>
      </c>
      <c r="K75" s="52" t="n">
        <f aca="false">K62+K63+K64+K65+K66+K67+K68+K69+K70+K71+K72+K73+K74</f>
        <v>3211882.73176028</v>
      </c>
      <c r="M75" s="52" t="n">
        <f aca="false">M62+M63+M64+M65+M66+M67+M68+M69+M70+M71+M72+M73+M74</f>
        <v>0</v>
      </c>
      <c r="N75" s="52" t="n">
        <f aca="false">N62+N63+N64+N65+N66+N67+N68+N69+N70+N71+N72+N73+N74</f>
        <v>2996994.6696</v>
      </c>
      <c r="O75" s="52" t="n">
        <f aca="false">O62+O63+O64+O65+O66+O67+O68+O69+O70+O71+O72+O73+O74</f>
        <v>3196190.84929452</v>
      </c>
      <c r="P75" s="52" t="n">
        <f aca="false">P62+P63+P64+P65+P66+P67+P68+P69+P70+P71+P72+P73+P74</f>
        <v>3131505.10955175</v>
      </c>
    </row>
    <row r="76" customFormat="false" ht="15" hidden="false" customHeight="false" outlineLevel="0" collapsed="false">
      <c r="A76" s="10" t="s">
        <v>611</v>
      </c>
      <c r="B76" s="36" t="s">
        <v>169</v>
      </c>
      <c r="D76" s="53" t="n">
        <f aca="false">D75*Assumptions!$C$30</f>
        <v>149577.995</v>
      </c>
      <c r="E76" s="53" t="n">
        <f aca="false">E75*Assumptions!$C$30</f>
        <v>158980.6712744</v>
      </c>
      <c r="F76" s="53" t="n">
        <f aca="false">F75*Assumptions!$C$30</f>
        <v>154845.432160541</v>
      </c>
      <c r="I76" s="53" t="n">
        <f aca="false">I75*Assumptions!$C$30</f>
        <v>156742.32645</v>
      </c>
      <c r="J76" s="53" t="n">
        <f aca="false">J75*Assumptions!$C$30</f>
        <v>165972.117865967</v>
      </c>
      <c r="K76" s="53" t="n">
        <f aca="false">K75*Assumptions!$C$30</f>
        <v>160594.136588014</v>
      </c>
      <c r="N76" s="53" t="n">
        <f aca="false">N75*Assumptions!$C$30</f>
        <v>149849.73348</v>
      </c>
      <c r="O76" s="53" t="n">
        <f aca="false">O75*Assumptions!$C$30</f>
        <v>159809.542464726</v>
      </c>
      <c r="P76" s="53" t="n">
        <f aca="false">P75*Assumptions!$C$30</f>
        <v>156575.255477588</v>
      </c>
    </row>
    <row r="77" customFormat="false" ht="15" hidden="false" customHeight="false" outlineLevel="0" collapsed="false">
      <c r="A77" s="76" t="s">
        <v>612</v>
      </c>
      <c r="B77" s="77" t="s">
        <v>169</v>
      </c>
      <c r="C77" s="79" t="n">
        <f aca="false">C75+C76</f>
        <v>0</v>
      </c>
      <c r="D77" s="79" t="n">
        <f aca="false">D75+D76</f>
        <v>3141137.895</v>
      </c>
      <c r="E77" s="79" t="n">
        <f aca="false">E75+E76</f>
        <v>3338594.0967624</v>
      </c>
      <c r="F77" s="79" t="n">
        <f aca="false">F75+F76</f>
        <v>3251754.07537137</v>
      </c>
      <c r="H77" s="79" t="n">
        <f aca="false">H75+H76</f>
        <v>0</v>
      </c>
      <c r="I77" s="79" t="n">
        <f aca="false">I75+I76</f>
        <v>3291588.85545</v>
      </c>
      <c r="J77" s="79" t="n">
        <f aca="false">J75+J76</f>
        <v>3485414.47518531</v>
      </c>
      <c r="K77" s="79" t="n">
        <f aca="false">K75+K76</f>
        <v>3372476.8683483</v>
      </c>
      <c r="M77" s="79" t="n">
        <f aca="false">M75+M76</f>
        <v>0</v>
      </c>
      <c r="N77" s="79" t="n">
        <f aca="false">N75+N76</f>
        <v>3146844.40308</v>
      </c>
      <c r="O77" s="79" t="n">
        <f aca="false">O75+O76</f>
        <v>3356000.39175924</v>
      </c>
      <c r="P77" s="79" t="n">
        <f aca="false">P75+P76</f>
        <v>3288080.36502934</v>
      </c>
    </row>
    <row r="78" customFormat="false" ht="15" hidden="false" customHeight="false" outlineLevel="0" collapsed="false">
      <c r="A78" s="10" t="s">
        <v>613</v>
      </c>
      <c r="B78" s="36" t="s">
        <v>169</v>
      </c>
      <c r="C78" s="53" t="n">
        <f aca="false">Assumptions!$E$84+Assumptions!$E$85+Assumptions!$E$86+Assumptions!$E$87+Assumptions!$E$88+Assumptions!$E$89*Assumptions!$C$90*Assumptions!$C$80</f>
        <v>1300000</v>
      </c>
      <c r="H78" s="53" t="n">
        <f aca="false">Assumptions!$E$84+Assumptions!$E$85+Assumptions!$E$86+Assumptions!$E$87+Assumptions!$E$88+Assumptions!$E$89*Assumptions!$C$90*Assumptions!$C$80</f>
        <v>1300000</v>
      </c>
      <c r="M78" s="53" t="n">
        <f aca="false">Assumptions!$E$84+Assumptions!$E$85+Assumptions!$E$86+Assumptions!$E$87+Assumptions!$E$88+Assumptions!$E$89*Assumptions!$C$90*Assumptions!$C$80</f>
        <v>1300000</v>
      </c>
    </row>
    <row r="79" customFormat="false" ht="15" hidden="false" customHeight="false" outlineLevel="0" collapsed="false">
      <c r="A79" s="76" t="s">
        <v>614</v>
      </c>
      <c r="B79" s="77" t="s">
        <v>169</v>
      </c>
      <c r="C79" s="79" t="n">
        <f aca="false">C57-C77-C78</f>
        <v>-1300000</v>
      </c>
      <c r="D79" s="79" t="n">
        <f aca="false">D57-D77-D78</f>
        <v>-2949269.095</v>
      </c>
      <c r="E79" s="79" t="n">
        <f aca="false">E57-E77-E78</f>
        <v>-2551796.8254664</v>
      </c>
      <c r="F79" s="79" t="n">
        <f aca="false">F57-F77-F78</f>
        <v>-1314081.40378777</v>
      </c>
      <c r="H79" s="79" t="n">
        <f aca="false">H57-H77-H78</f>
        <v>-1300000</v>
      </c>
      <c r="I79" s="79" t="n">
        <f aca="false">I57-I77-I78</f>
        <v>-3160127.60745</v>
      </c>
      <c r="J79" s="79" t="n">
        <f aca="false">J57-J77-J78</f>
        <v>-2981182.26743724</v>
      </c>
      <c r="K79" s="79" t="n">
        <f aca="false">K57-K77-K78</f>
        <v>-2174545.44203319</v>
      </c>
      <c r="M79" s="79" t="n">
        <f aca="false">M57-M77-M78</f>
        <v>-1300000</v>
      </c>
      <c r="N79" s="79" t="n">
        <f aca="false">N57-N77-N78</f>
        <v>-2895729.40788</v>
      </c>
      <c r="O79" s="79" t="n">
        <f aca="false">O57-O77-O78</f>
        <v>-2291486.79359554</v>
      </c>
      <c r="P79" s="79" t="n">
        <f aca="false">P57-P77-P78</f>
        <v>-621500.067681614</v>
      </c>
    </row>
    <row r="80" customFormat="false" ht="15" hidden="false" customHeight="false" outlineLevel="0" collapsed="false">
      <c r="A80" s="10" t="s">
        <v>615</v>
      </c>
      <c r="B80" s="36" t="s">
        <v>127</v>
      </c>
      <c r="D80" s="46" t="n">
        <f aca="false">IF(D49=0,0,D79/D49)</f>
        <v>-13.1805018546657</v>
      </c>
      <c r="E80" s="46" t="n">
        <f aca="false">IF(E49=0,0,E79/E49)</f>
        <v>-2.73393338340967</v>
      </c>
      <c r="F80" s="46" t="n">
        <f aca="false">IF(F49=0,0,F79/F49)</f>
        <v>-0.567795931808235</v>
      </c>
      <c r="I80" s="46" t="n">
        <f aca="false">IF(I49=0,0,I79/I49)</f>
        <v>-20.9530300269328</v>
      </c>
      <c r="J80" s="46" t="n">
        <f aca="false">IF(J49=0,0,J79/J49)</f>
        <v>-5.03106889890692</v>
      </c>
      <c r="K80" s="46" t="n">
        <f aca="false">IF(K49=0,0,K79/K49)</f>
        <v>-1.52812582707181</v>
      </c>
      <c r="N80" s="46" t="n">
        <f aca="false">IF(N49=0,0,N79/N49)</f>
        <v>-9.82378968788369</v>
      </c>
      <c r="O80" s="46" t="n">
        <f aca="false">IF(O49=0,0,O79/O49)</f>
        <v>-1.81014775511966</v>
      </c>
      <c r="P80" s="46" t="n">
        <f aca="false">IF(P49=0,0,P79/P49)</f>
        <v>-0.195051292330068</v>
      </c>
    </row>
    <row r="82" customFormat="false" ht="15" hidden="false" customHeight="false" outlineLevel="0" collapsed="false">
      <c r="A82" s="4" t="s">
        <v>616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customFormat="false" ht="15" hidden="false" customHeight="false" outlineLevel="0" collapsed="false">
      <c r="A83" s="10" t="s">
        <v>617</v>
      </c>
      <c r="B83" s="36" t="s">
        <v>169</v>
      </c>
      <c r="D83" s="53" t="n">
        <f aca="false">MAX(0,D61-C61)*Assumptions!$C$27</f>
        <v>44000</v>
      </c>
      <c r="E83" s="53" t="n">
        <f aca="false">MAX(0,E61-D61)*Assumptions!$C$27</f>
        <v>12000</v>
      </c>
      <c r="F83" s="53" t="n">
        <f aca="false">MAX(0,F61-E61)*Assumptions!$C$27</f>
        <v>0</v>
      </c>
      <c r="I83" s="53" t="n">
        <f aca="false">MAX(0,I61-H61)*Assumptions!$C$27</f>
        <v>44000</v>
      </c>
      <c r="J83" s="53" t="n">
        <f aca="false">MAX(0,J61-I61)*Assumptions!$C$27</f>
        <v>12000</v>
      </c>
      <c r="K83" s="53" t="n">
        <f aca="false">MAX(0,K61-J61)*Assumptions!$C$27</f>
        <v>0</v>
      </c>
      <c r="N83" s="53" t="n">
        <f aca="false">MAX(0,N61-M61)*Assumptions!$C$27</f>
        <v>44000</v>
      </c>
      <c r="O83" s="53" t="n">
        <f aca="false">MAX(0,O61-N61)*Assumptions!$C$27</f>
        <v>12000</v>
      </c>
      <c r="P83" s="53" t="n">
        <f aca="false">MAX(0,P61-O61)*Assumptions!$C$27</f>
        <v>0</v>
      </c>
    </row>
    <row r="84" customFormat="false" ht="15" hidden="false" customHeight="false" outlineLevel="0" collapsed="false">
      <c r="A84" s="10" t="s">
        <v>618</v>
      </c>
      <c r="B84" s="36" t="s">
        <v>169</v>
      </c>
      <c r="C84" s="53" t="n">
        <v>0</v>
      </c>
      <c r="D84" s="53" t="n">
        <f aca="false">C84+D83</f>
        <v>44000</v>
      </c>
      <c r="E84" s="53" t="n">
        <f aca="false">D84+E83</f>
        <v>56000</v>
      </c>
      <c r="F84" s="53" t="n">
        <f aca="false">E84+F83</f>
        <v>56000</v>
      </c>
      <c r="H84" s="53" t="n">
        <v>0</v>
      </c>
      <c r="I84" s="53" t="n">
        <f aca="false">H84+I83</f>
        <v>44000</v>
      </c>
      <c r="J84" s="53" t="n">
        <f aca="false">I84+J83</f>
        <v>56000</v>
      </c>
      <c r="K84" s="53" t="n">
        <f aca="false">J84+K83</f>
        <v>56000</v>
      </c>
      <c r="M84" s="53" t="n">
        <v>0</v>
      </c>
      <c r="N84" s="53" t="n">
        <f aca="false">M84+N83</f>
        <v>44000</v>
      </c>
      <c r="O84" s="53" t="n">
        <f aca="false">N84+O83</f>
        <v>56000</v>
      </c>
      <c r="P84" s="53" t="n">
        <f aca="false">O84+P83</f>
        <v>56000</v>
      </c>
    </row>
    <row r="85" customFormat="false" ht="15" hidden="false" customHeight="false" outlineLevel="0" collapsed="false">
      <c r="A85" s="10" t="s">
        <v>619</v>
      </c>
      <c r="B85" s="36" t="s">
        <v>169</v>
      </c>
      <c r="D85" s="53" t="n">
        <f aca="false">D84/Assumptions!$C$28</f>
        <v>14666.6666666667</v>
      </c>
      <c r="E85" s="53" t="n">
        <f aca="false">E84/Assumptions!$C$28</f>
        <v>18666.6666666667</v>
      </c>
      <c r="F85" s="53" t="n">
        <f aca="false">F84/Assumptions!$C$28</f>
        <v>18666.6666666667</v>
      </c>
      <c r="I85" s="53" t="n">
        <f aca="false">I84/Assumptions!$C$28</f>
        <v>14666.6666666667</v>
      </c>
      <c r="J85" s="53" t="n">
        <f aca="false">J84/Assumptions!$C$28</f>
        <v>18666.6666666667</v>
      </c>
      <c r="K85" s="53" t="n">
        <f aca="false">K84/Assumptions!$C$28</f>
        <v>18666.6666666667</v>
      </c>
      <c r="N85" s="53" t="n">
        <f aca="false">N84/Assumptions!$C$28</f>
        <v>14666.6666666667</v>
      </c>
      <c r="O85" s="53" t="n">
        <f aca="false">O84/Assumptions!$C$28</f>
        <v>18666.6666666667</v>
      </c>
      <c r="P85" s="53" t="n">
        <f aca="false">P84/Assumptions!$C$28</f>
        <v>18666.6666666667</v>
      </c>
    </row>
    <row r="86" customFormat="false" ht="15" hidden="false" customHeight="false" outlineLevel="0" collapsed="false">
      <c r="A86" s="7" t="s">
        <v>620</v>
      </c>
      <c r="B86" s="36" t="s">
        <v>169</v>
      </c>
      <c r="C86" s="52" t="n">
        <f aca="false">C79-C85</f>
        <v>-1300000</v>
      </c>
      <c r="D86" s="52" t="n">
        <f aca="false">D79-D85</f>
        <v>-2963935.76166667</v>
      </c>
      <c r="E86" s="52" t="n">
        <f aca="false">E79-E85</f>
        <v>-2570463.49213307</v>
      </c>
      <c r="F86" s="52" t="n">
        <f aca="false">F79-F85</f>
        <v>-1332748.07045444</v>
      </c>
      <c r="H86" s="52" t="n">
        <f aca="false">H79-H85</f>
        <v>-1300000</v>
      </c>
      <c r="I86" s="52" t="n">
        <f aca="false">I79-I85</f>
        <v>-3174794.27411667</v>
      </c>
      <c r="J86" s="52" t="n">
        <f aca="false">J79-J85</f>
        <v>-2999848.93410391</v>
      </c>
      <c r="K86" s="52" t="n">
        <f aca="false">K79-K85</f>
        <v>-2193212.10869986</v>
      </c>
      <c r="M86" s="52" t="n">
        <f aca="false">M79-M85</f>
        <v>-1300000</v>
      </c>
      <c r="N86" s="52" t="n">
        <f aca="false">N79-N85</f>
        <v>-2910396.07454667</v>
      </c>
      <c r="O86" s="52" t="n">
        <f aca="false">O79-O85</f>
        <v>-2310153.46026221</v>
      </c>
      <c r="P86" s="52" t="n">
        <f aca="false">P79-P85</f>
        <v>-640166.734348281</v>
      </c>
    </row>
    <row r="87" customFormat="false" ht="15" hidden="false" customHeight="false" outlineLevel="0" collapsed="false">
      <c r="A87" s="10" t="s">
        <v>621</v>
      </c>
      <c r="B87" s="36" t="s">
        <v>127</v>
      </c>
      <c r="D87" s="46" t="n">
        <f aca="false">IF(Assumptions!$C$16=1,Assumptions!$C$17,Assumptions!$C$15)</f>
        <v>0.24</v>
      </c>
      <c r="E87" s="46" t="n">
        <f aca="false">IF(Assumptions!$C$16=1,Assumptions!$C$17,Assumptions!$C$15)</f>
        <v>0.24</v>
      </c>
      <c r="F87" s="46" t="n">
        <f aca="false">IF(Assumptions!$C$16=1,Assumptions!$C$17,Assumptions!$C$15)</f>
        <v>0.24</v>
      </c>
      <c r="I87" s="46" t="n">
        <f aca="false">IF(Assumptions!$C$16=1,Assumptions!$C$17,Assumptions!$C$15)</f>
        <v>0.24</v>
      </c>
      <c r="J87" s="46" t="n">
        <f aca="false">IF(Assumptions!$C$16=1,Assumptions!$C$17,Assumptions!$C$15)</f>
        <v>0.24</v>
      </c>
      <c r="K87" s="46" t="n">
        <f aca="false">IF(Assumptions!$C$16=1,Assumptions!$C$17,Assumptions!$C$15)</f>
        <v>0.24</v>
      </c>
      <c r="N87" s="46" t="n">
        <f aca="false">IF(Assumptions!$C$16=1,Assumptions!$C$17,Assumptions!$C$15)</f>
        <v>0.24</v>
      </c>
      <c r="O87" s="46" t="n">
        <f aca="false">IF(Assumptions!$C$16=1,Assumptions!$C$17,Assumptions!$C$15)</f>
        <v>0.24</v>
      </c>
      <c r="P87" s="46" t="n">
        <f aca="false">IF(Assumptions!$C$16=1,Assumptions!$C$17,Assumptions!$C$15)</f>
        <v>0.24</v>
      </c>
    </row>
    <row r="88" customFormat="false" ht="15" hidden="false" customHeight="false" outlineLevel="0" collapsed="false">
      <c r="A88" s="10" t="s">
        <v>622</v>
      </c>
      <c r="B88" s="36" t="s">
        <v>169</v>
      </c>
      <c r="D88" s="53" t="n">
        <f aca="false">C91</f>
        <v>1300000</v>
      </c>
      <c r="E88" s="53" t="n">
        <f aca="false">D91</f>
        <v>4263935.76166667</v>
      </c>
      <c r="F88" s="53" t="n">
        <f aca="false">E91</f>
        <v>6834399.25379973</v>
      </c>
      <c r="I88" s="53" t="n">
        <f aca="false">H91</f>
        <v>1300000</v>
      </c>
      <c r="J88" s="53" t="n">
        <f aca="false">I91</f>
        <v>4474794.27411667</v>
      </c>
      <c r="K88" s="53" t="n">
        <f aca="false">J91</f>
        <v>7474643.20822058</v>
      </c>
      <c r="N88" s="53" t="n">
        <f aca="false">M91</f>
        <v>1300000</v>
      </c>
      <c r="O88" s="53" t="n">
        <f aca="false">N91</f>
        <v>4210396.07454667</v>
      </c>
      <c r="P88" s="53" t="n">
        <f aca="false">O91</f>
        <v>6520549.53480888</v>
      </c>
    </row>
    <row r="89" customFormat="false" ht="15" hidden="false" customHeight="false" outlineLevel="0" collapsed="false">
      <c r="A89" s="10" t="s">
        <v>623</v>
      </c>
      <c r="B89" s="36" t="s">
        <v>169</v>
      </c>
      <c r="D89" s="53" t="n">
        <f aca="false">MIN(D88,MAX(D86,0))</f>
        <v>0</v>
      </c>
      <c r="E89" s="53" t="n">
        <f aca="false">MIN(E88,MAX(E86,0))</f>
        <v>0</v>
      </c>
      <c r="F89" s="53" t="n">
        <f aca="false">MIN(F88,MAX(F86,0))</f>
        <v>0</v>
      </c>
      <c r="I89" s="53" t="n">
        <f aca="false">MIN(I88,MAX(I86,0))</f>
        <v>0</v>
      </c>
      <c r="J89" s="53" t="n">
        <f aca="false">MIN(J88,MAX(J86,0))</f>
        <v>0</v>
      </c>
      <c r="K89" s="53" t="n">
        <f aca="false">MIN(K88,MAX(K86,0))</f>
        <v>0</v>
      </c>
      <c r="N89" s="53" t="n">
        <f aca="false">MIN(N88,MAX(N86,0))</f>
        <v>0</v>
      </c>
      <c r="O89" s="53" t="n">
        <f aca="false">MIN(O88,MAX(O86,0))</f>
        <v>0</v>
      </c>
      <c r="P89" s="53" t="n">
        <f aca="false">MIN(P88,MAX(P86,0))</f>
        <v>0</v>
      </c>
    </row>
    <row r="90" customFormat="false" ht="15" hidden="false" customHeight="false" outlineLevel="0" collapsed="false">
      <c r="A90" s="10" t="s">
        <v>624</v>
      </c>
      <c r="B90" s="36" t="s">
        <v>169</v>
      </c>
      <c r="D90" s="53" t="n">
        <f aca="false">MAX(-D86,0)</f>
        <v>2963935.76166667</v>
      </c>
      <c r="E90" s="53" t="n">
        <f aca="false">MAX(-E86,0)</f>
        <v>2570463.49213307</v>
      </c>
      <c r="F90" s="53" t="n">
        <f aca="false">MAX(-F86,0)</f>
        <v>1332748.07045444</v>
      </c>
      <c r="I90" s="53" t="n">
        <f aca="false">MAX(-I86,0)</f>
        <v>3174794.27411667</v>
      </c>
      <c r="J90" s="53" t="n">
        <f aca="false">MAX(-J86,0)</f>
        <v>2999848.93410391</v>
      </c>
      <c r="K90" s="53" t="n">
        <f aca="false">MAX(-K86,0)</f>
        <v>2193212.10869986</v>
      </c>
      <c r="N90" s="53" t="n">
        <f aca="false">MAX(-N86,0)</f>
        <v>2910396.07454667</v>
      </c>
      <c r="O90" s="53" t="n">
        <f aca="false">MAX(-O86,0)</f>
        <v>2310153.46026221</v>
      </c>
      <c r="P90" s="53" t="n">
        <f aca="false">MAX(-P86,0)</f>
        <v>640166.734348281</v>
      </c>
    </row>
    <row r="91" customFormat="false" ht="15" hidden="false" customHeight="false" outlineLevel="0" collapsed="false">
      <c r="A91" s="10" t="s">
        <v>625</v>
      </c>
      <c r="B91" s="36" t="s">
        <v>169</v>
      </c>
      <c r="C91" s="53" t="n">
        <f aca="false">MAX(-C86,0)</f>
        <v>1300000</v>
      </c>
      <c r="D91" s="53" t="n">
        <f aca="false">D88-D89+D90</f>
        <v>4263935.76166667</v>
      </c>
      <c r="E91" s="53" t="n">
        <f aca="false">E88-E89+E90</f>
        <v>6834399.25379973</v>
      </c>
      <c r="F91" s="53" t="n">
        <f aca="false">F88-F89+F90</f>
        <v>8167147.32425417</v>
      </c>
      <c r="H91" s="53" t="n">
        <f aca="false">MAX(-H86,0)</f>
        <v>1300000</v>
      </c>
      <c r="I91" s="53" t="n">
        <f aca="false">I88-I89+I90</f>
        <v>4474794.27411667</v>
      </c>
      <c r="J91" s="53" t="n">
        <f aca="false">J88-J89+J90</f>
        <v>7474643.20822058</v>
      </c>
      <c r="K91" s="53" t="n">
        <f aca="false">K88-K89+K90</f>
        <v>9667855.31692044</v>
      </c>
      <c r="M91" s="53" t="n">
        <f aca="false">MAX(-M86,0)</f>
        <v>1300000</v>
      </c>
      <c r="N91" s="53" t="n">
        <f aca="false">N88-N89+N90</f>
        <v>4210396.07454667</v>
      </c>
      <c r="O91" s="53" t="n">
        <f aca="false">O88-O89+O90</f>
        <v>6520549.53480888</v>
      </c>
      <c r="P91" s="53" t="n">
        <f aca="false">P88-P89+P90</f>
        <v>7160716.26915716</v>
      </c>
    </row>
    <row r="92" customFormat="false" ht="15" hidden="false" customHeight="false" outlineLevel="0" collapsed="false">
      <c r="A92" s="10" t="s">
        <v>626</v>
      </c>
      <c r="B92" s="36" t="s">
        <v>169</v>
      </c>
      <c r="D92" s="53" t="n">
        <f aca="false">MAX(D86,0)-D89</f>
        <v>0</v>
      </c>
      <c r="E92" s="53" t="n">
        <f aca="false">MAX(E86,0)-E89</f>
        <v>0</v>
      </c>
      <c r="F92" s="53" t="n">
        <f aca="false">MAX(F86,0)-F89</f>
        <v>0</v>
      </c>
      <c r="I92" s="53" t="n">
        <f aca="false">MAX(I86,0)-I89</f>
        <v>0</v>
      </c>
      <c r="J92" s="53" t="n">
        <f aca="false">MAX(J86,0)-J89</f>
        <v>0</v>
      </c>
      <c r="K92" s="53" t="n">
        <f aca="false">MAX(K86,0)-K89</f>
        <v>0</v>
      </c>
      <c r="N92" s="53" t="n">
        <f aca="false">MAX(N86,0)-N89</f>
        <v>0</v>
      </c>
      <c r="O92" s="53" t="n">
        <f aca="false">MAX(O86,0)-O89</f>
        <v>0</v>
      </c>
      <c r="P92" s="53" t="n">
        <f aca="false">MAX(P86,0)-P89</f>
        <v>0</v>
      </c>
    </row>
    <row r="93" customFormat="false" ht="15" hidden="false" customHeight="false" outlineLevel="0" collapsed="false">
      <c r="A93" s="10" t="s">
        <v>627</v>
      </c>
      <c r="B93" s="36" t="s">
        <v>169</v>
      </c>
      <c r="D93" s="53" t="n">
        <f aca="false">D92*D87</f>
        <v>0</v>
      </c>
      <c r="E93" s="53" t="n">
        <f aca="false">E92*E87</f>
        <v>0</v>
      </c>
      <c r="F93" s="53" t="n">
        <f aca="false">F92*F87</f>
        <v>0</v>
      </c>
      <c r="I93" s="53" t="n">
        <f aca="false">I92*I87</f>
        <v>0</v>
      </c>
      <c r="J93" s="53" t="n">
        <f aca="false">J92*J87</f>
        <v>0</v>
      </c>
      <c r="K93" s="53" t="n">
        <f aca="false">K92*K87</f>
        <v>0</v>
      </c>
      <c r="N93" s="53" t="n">
        <f aca="false">N92*N87</f>
        <v>0</v>
      </c>
      <c r="O93" s="53" t="n">
        <f aca="false">O92*O87</f>
        <v>0</v>
      </c>
      <c r="P93" s="53" t="n">
        <f aca="false">P92*P87</f>
        <v>0</v>
      </c>
    </row>
    <row r="94" customFormat="false" ht="15" hidden="false" customHeight="false" outlineLevel="0" collapsed="false">
      <c r="A94" s="76" t="s">
        <v>628</v>
      </c>
      <c r="B94" s="77" t="s">
        <v>169</v>
      </c>
      <c r="C94" s="79" t="n">
        <f aca="false">C86-C93</f>
        <v>-1300000</v>
      </c>
      <c r="D94" s="79" t="n">
        <f aca="false">D86-D93</f>
        <v>-2963935.76166667</v>
      </c>
      <c r="E94" s="79" t="n">
        <f aca="false">E86-E93</f>
        <v>-2570463.49213307</v>
      </c>
      <c r="F94" s="79" t="n">
        <f aca="false">F86-F93</f>
        <v>-1332748.07045444</v>
      </c>
      <c r="H94" s="79" t="n">
        <f aca="false">H86-H93</f>
        <v>-1300000</v>
      </c>
      <c r="I94" s="79" t="n">
        <f aca="false">I86-I93</f>
        <v>-3174794.27411667</v>
      </c>
      <c r="J94" s="79" t="n">
        <f aca="false">J86-J93</f>
        <v>-2999848.93410391</v>
      </c>
      <c r="K94" s="79" t="n">
        <f aca="false">K86-K93</f>
        <v>-2193212.10869986</v>
      </c>
      <c r="M94" s="79" t="n">
        <f aca="false">M86-M93</f>
        <v>-1300000</v>
      </c>
      <c r="N94" s="79" t="n">
        <f aca="false">N86-N93</f>
        <v>-2910396.07454667</v>
      </c>
      <c r="O94" s="79" t="n">
        <f aca="false">O86-O93</f>
        <v>-2310153.46026221</v>
      </c>
      <c r="P94" s="79" t="n">
        <f aca="false">P86-P93</f>
        <v>-640166.734348281</v>
      </c>
    </row>
    <row r="96" customFormat="false" ht="15" hidden="false" customHeight="false" outlineLevel="0" collapsed="false">
      <c r="A96" s="4" t="s">
        <v>629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customFormat="false" ht="15" hidden="false" customHeight="false" outlineLevel="0" collapsed="false">
      <c r="A97" s="10" t="s">
        <v>630</v>
      </c>
      <c r="B97" s="36" t="s">
        <v>169</v>
      </c>
      <c r="C97" s="53" t="n">
        <v>0</v>
      </c>
      <c r="D97" s="53" t="n">
        <f aca="false">D49*Assumptions!$C$24/365</f>
        <v>36782.4657534247</v>
      </c>
      <c r="E97" s="53" t="n">
        <f aca="false">E49*Assumptions!$C$24/365</f>
        <v>153432.213567123</v>
      </c>
      <c r="F97" s="53" t="n">
        <f aca="false">F49*Assumptions!$C$24/365</f>
        <v>380441.93229183</v>
      </c>
      <c r="H97" s="53" t="n">
        <v>0</v>
      </c>
      <c r="I97" s="53" t="n">
        <f aca="false">I49*Assumptions!$C$24/365</f>
        <v>24792.2630136986</v>
      </c>
      <c r="J97" s="53" t="n">
        <f aca="false">J49*Assumptions!$C$24/365</f>
        <v>97406.2110612822</v>
      </c>
      <c r="K97" s="53" t="n">
        <f aca="false">K49*Assumptions!$C$24/365</f>
        <v>233920.216768241</v>
      </c>
      <c r="M97" s="53" t="n">
        <v>0</v>
      </c>
      <c r="N97" s="53" t="n">
        <f aca="false">N49*Assumptions!$C$24/365</f>
        <v>48454.855890411</v>
      </c>
      <c r="O97" s="53" t="n">
        <f aca="false">O49*Assumptions!$C$24/365</f>
        <v>208095.035074166</v>
      </c>
      <c r="P97" s="53" t="n">
        <f aca="false">P49*Assumptions!$C$24/365</f>
        <v>523782.198348651</v>
      </c>
    </row>
    <row r="98" customFormat="false" ht="15" hidden="false" customHeight="false" outlineLevel="0" collapsed="false">
      <c r="A98" s="10" t="s">
        <v>631</v>
      </c>
      <c r="B98" s="36" t="s">
        <v>169</v>
      </c>
      <c r="C98" s="53" t="n">
        <v>0</v>
      </c>
      <c r="D98" s="53" t="n">
        <f aca="false">D46*Assumptions!$C$25</f>
        <v>43940</v>
      </c>
      <c r="E98" s="53" t="n">
        <f aca="false">E46*Assumptions!$C$25</f>
        <v>203344.8248</v>
      </c>
      <c r="F98" s="53" t="n">
        <f aca="false">F46*Assumptions!$C$25</f>
        <v>526088.772027159</v>
      </c>
      <c r="H98" s="53" t="n">
        <v>0</v>
      </c>
      <c r="I98" s="53" t="n">
        <f aca="false">I46*Assumptions!$C$25</f>
        <v>25704.9</v>
      </c>
      <c r="J98" s="53" t="n">
        <f aca="false">J46*Assumptions!$C$25</f>
        <v>118138.6126557</v>
      </c>
      <c r="K98" s="53" t="n">
        <f aca="false">K46*Assumptions!$C$25</f>
        <v>303253.6630017</v>
      </c>
      <c r="M98" s="53" t="n">
        <v>0</v>
      </c>
      <c r="N98" s="53" t="n">
        <f aca="false">N46*Assumptions!$C$25</f>
        <v>61691.76</v>
      </c>
      <c r="O98" s="53" t="n">
        <f aca="false">O46*Assumptions!$C$25</f>
        <v>286477.86584196</v>
      </c>
      <c r="P98" s="53" t="n">
        <f aca="false">P46*Assumptions!$C$25</f>
        <v>744085.42665524</v>
      </c>
    </row>
    <row r="99" customFormat="false" ht="15" hidden="false" customHeight="false" outlineLevel="0" collapsed="false">
      <c r="A99" s="10" t="s">
        <v>632</v>
      </c>
      <c r="B99" s="36" t="s">
        <v>169</v>
      </c>
      <c r="C99" s="53" t="n">
        <v>0</v>
      </c>
      <c r="D99" s="53" t="n">
        <f aca="false">(D53+D71+D72+D73)*Assumptions!$C$26/365</f>
        <v>55322.5643835616</v>
      </c>
      <c r="E99" s="53" t="n">
        <f aca="false">(E53+E71+E72+E73)*Assumptions!$C$26/365</f>
        <v>75807.5766496438</v>
      </c>
      <c r="F99" s="53" t="n">
        <f aca="false">(F53+F71+F72+F73)*Assumptions!$C$26/365</f>
        <v>99799.8419649071</v>
      </c>
      <c r="H99" s="53" t="n">
        <v>0</v>
      </c>
      <c r="I99" s="53" t="n">
        <f aca="false">(I53+I71+I72+I73)*Assumptions!$C$26/365</f>
        <v>57282.6042739726</v>
      </c>
      <c r="J99" s="53" t="n">
        <f aca="false">(J53+J71+J72+J73)*Assumptions!$C$26/365</f>
        <v>75835.276773266</v>
      </c>
      <c r="K99" s="53" t="n">
        <f aca="false">(K53+K71+K72+K73)*Assumptions!$C$26/365</f>
        <v>94960.7669786972</v>
      </c>
      <c r="M99" s="53" t="n">
        <v>0</v>
      </c>
      <c r="N99" s="53" t="n">
        <f aca="false">(N53+N71+N72+N73)*Assumptions!$C$26/365</f>
        <v>56022.9077917808</v>
      </c>
      <c r="O99" s="53" t="n">
        <f aca="false">(O53+O71+O72+O73)*Assumptions!$C$26/365</f>
        <v>79087.3459400664</v>
      </c>
      <c r="P99" s="53" t="n">
        <f aca="false">(P53+P71+P72+P73)*Assumptions!$C$26/365</f>
        <v>108400.257928316</v>
      </c>
    </row>
    <row r="100" customFormat="false" ht="15" hidden="false" customHeight="false" outlineLevel="0" collapsed="false">
      <c r="A100" s="10" t="s">
        <v>633</v>
      </c>
      <c r="B100" s="36" t="s">
        <v>169</v>
      </c>
      <c r="C100" s="53" t="n">
        <f aca="false">C97-C98-C99</f>
        <v>0</v>
      </c>
      <c r="D100" s="53" t="n">
        <f aca="false">D97-D98-D99</f>
        <v>-62480.098630137</v>
      </c>
      <c r="E100" s="53" t="n">
        <f aca="false">E97-E98-E99</f>
        <v>-125720.187882521</v>
      </c>
      <c r="F100" s="53" t="n">
        <f aca="false">F97-F98-F99</f>
        <v>-245446.681700235</v>
      </c>
      <c r="H100" s="53" t="n">
        <f aca="false">H97-H98-H99</f>
        <v>0</v>
      </c>
      <c r="I100" s="53" t="n">
        <f aca="false">I97-I98-I99</f>
        <v>-58195.241260274</v>
      </c>
      <c r="J100" s="53" t="n">
        <f aca="false">J97-J98-J99</f>
        <v>-96567.6783676838</v>
      </c>
      <c r="K100" s="53" t="n">
        <f aca="false">K97-K98-K99</f>
        <v>-164294.213212156</v>
      </c>
      <c r="M100" s="53" t="n">
        <f aca="false">M97-M98-M99</f>
        <v>0</v>
      </c>
      <c r="N100" s="53" t="n">
        <f aca="false">N97-N98-N99</f>
        <v>-69259.8119013699</v>
      </c>
      <c r="O100" s="53" t="n">
        <f aca="false">O97-O98-O99</f>
        <v>-157470.176707861</v>
      </c>
      <c r="P100" s="53" t="n">
        <f aca="false">P97-P98-P99</f>
        <v>-328703.486234905</v>
      </c>
    </row>
    <row r="101" customFormat="false" ht="15" hidden="false" customHeight="false" outlineLevel="0" collapsed="false">
      <c r="A101" s="10" t="s">
        <v>634</v>
      </c>
      <c r="B101" s="36" t="s">
        <v>169</v>
      </c>
      <c r="D101" s="53" t="n">
        <f aca="false">D100-C100</f>
        <v>-62480.098630137</v>
      </c>
      <c r="E101" s="53" t="n">
        <f aca="false">E100-D100</f>
        <v>-63240.0892523836</v>
      </c>
      <c r="F101" s="53" t="n">
        <f aca="false">F100-E100</f>
        <v>-119726.493817715</v>
      </c>
      <c r="I101" s="53" t="n">
        <f aca="false">I100-H100</f>
        <v>-58195.241260274</v>
      </c>
      <c r="J101" s="53" t="n">
        <f aca="false">J100-I100</f>
        <v>-38372.4371074098</v>
      </c>
      <c r="K101" s="53" t="n">
        <f aca="false">K100-J100</f>
        <v>-67726.5348444725</v>
      </c>
      <c r="N101" s="53" t="n">
        <f aca="false">N100-M100</f>
        <v>-69259.8119013699</v>
      </c>
      <c r="O101" s="53" t="n">
        <f aca="false">O100-N100</f>
        <v>-88210.3648064911</v>
      </c>
      <c r="P101" s="53" t="n">
        <f aca="false">P100-O100</f>
        <v>-171233.309527044</v>
      </c>
    </row>
    <row r="102" customFormat="false" ht="15" hidden="false" customHeight="false" outlineLevel="0" collapsed="false">
      <c r="A102" s="76" t="s">
        <v>635</v>
      </c>
      <c r="B102" s="77" t="s">
        <v>169</v>
      </c>
      <c r="C102" s="79" t="n">
        <f aca="false">C79-C93-C101-C83</f>
        <v>-1300000</v>
      </c>
      <c r="D102" s="79" t="n">
        <f aca="false">D79-D93-D101-D83</f>
        <v>-2930788.99636986</v>
      </c>
      <c r="E102" s="79" t="n">
        <f aca="false">E79-E93-E101-E83</f>
        <v>-2500556.73621402</v>
      </c>
      <c r="F102" s="79" t="n">
        <f aca="false">F79-F93-F101-F83</f>
        <v>-1194354.90997006</v>
      </c>
      <c r="H102" s="79" t="n">
        <f aca="false">H79-H93-H101-H83</f>
        <v>-1300000</v>
      </c>
      <c r="I102" s="79" t="n">
        <f aca="false">I79-I93-I101-I83</f>
        <v>-3145932.36618973</v>
      </c>
      <c r="J102" s="79" t="n">
        <f aca="false">J79-J93-J101-J83</f>
        <v>-2954809.83032984</v>
      </c>
      <c r="K102" s="79" t="n">
        <f aca="false">K79-K93-K101-K83</f>
        <v>-2106818.90718872</v>
      </c>
      <c r="M102" s="79" t="n">
        <f aca="false">M79-M93-M101-M83</f>
        <v>-1300000</v>
      </c>
      <c r="N102" s="79" t="n">
        <f aca="false">N79-N93-N101-N83</f>
        <v>-2870469.59597863</v>
      </c>
      <c r="O102" s="79" t="n">
        <f aca="false">O79-O93-O101-O83</f>
        <v>-2215276.42878905</v>
      </c>
      <c r="P102" s="79" t="n">
        <f aca="false">P79-P93-P101-P83</f>
        <v>-450266.758154569</v>
      </c>
    </row>
    <row r="103" customFormat="false" ht="15" hidden="false" customHeight="false" outlineLevel="0" collapsed="false">
      <c r="A103" s="7" t="s">
        <v>104</v>
      </c>
      <c r="B103" s="36" t="s">
        <v>169</v>
      </c>
      <c r="C103" s="52" t="n">
        <f aca="false">C102</f>
        <v>-1300000</v>
      </c>
      <c r="D103" s="52" t="n">
        <f aca="false">C103+D102</f>
        <v>-4230788.99636986</v>
      </c>
      <c r="E103" s="52" t="n">
        <f aca="false">D103+E102</f>
        <v>-6731345.73258388</v>
      </c>
      <c r="F103" s="52" t="n">
        <f aca="false">E103+F102</f>
        <v>-7925700.64255394</v>
      </c>
      <c r="H103" s="52" t="n">
        <f aca="false">H102</f>
        <v>-1300000</v>
      </c>
      <c r="I103" s="52" t="n">
        <f aca="false">H103+I102</f>
        <v>-4445932.36618973</v>
      </c>
      <c r="J103" s="52" t="n">
        <f aca="false">I103+J102</f>
        <v>-7400742.19651956</v>
      </c>
      <c r="K103" s="52" t="n">
        <f aca="false">J103+K102</f>
        <v>-9507561.10370828</v>
      </c>
      <c r="M103" s="52" t="n">
        <f aca="false">M102</f>
        <v>-1300000</v>
      </c>
      <c r="N103" s="52" t="n">
        <f aca="false">M103+N102</f>
        <v>-4170469.59597863</v>
      </c>
      <c r="O103" s="52" t="n">
        <f aca="false">N103+O102</f>
        <v>-6385746.02476768</v>
      </c>
      <c r="P103" s="52" t="n">
        <f aca="false">O103+P102</f>
        <v>-6836012.78292225</v>
      </c>
    </row>
    <row r="105" customFormat="false" ht="15" hidden="false" customHeight="false" outlineLevel="0" collapsed="false">
      <c r="A105" s="4" t="s">
        <v>636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customFormat="false" ht="15" hidden="false" customHeight="false" outlineLevel="0" collapsed="false">
      <c r="A106" s="10" t="s">
        <v>637</v>
      </c>
      <c r="B106" s="36" t="s">
        <v>137</v>
      </c>
      <c r="C106" s="54" t="n">
        <f aca="false">1/(1+Assumptions!$C$8)^0</f>
        <v>1</v>
      </c>
      <c r="D106" s="54" t="n">
        <f aca="false">1/(1+Assumptions!$C$8)^1</f>
        <v>0.892857142857143</v>
      </c>
      <c r="E106" s="54" t="n">
        <f aca="false">1/(1+Assumptions!$C$8)^2</f>
        <v>0.79719387755102</v>
      </c>
      <c r="F106" s="54" t="n">
        <f aca="false">1/(1+Assumptions!$C$8)^3</f>
        <v>0.711780247813411</v>
      </c>
      <c r="H106" s="54" t="n">
        <f aca="false">1/(1+Assumptions!$C$8)^0</f>
        <v>1</v>
      </c>
      <c r="I106" s="54" t="n">
        <f aca="false">1/(1+Assumptions!$C$8)^1</f>
        <v>0.892857142857143</v>
      </c>
      <c r="J106" s="54" t="n">
        <f aca="false">1/(1+Assumptions!$C$8)^2</f>
        <v>0.79719387755102</v>
      </c>
      <c r="K106" s="54" t="n">
        <f aca="false">1/(1+Assumptions!$C$8)^3</f>
        <v>0.711780247813411</v>
      </c>
      <c r="M106" s="54" t="n">
        <f aca="false">1/(1+Assumptions!$C$8)^0</f>
        <v>1</v>
      </c>
      <c r="N106" s="54" t="n">
        <f aca="false">1/(1+Assumptions!$C$8)^1</f>
        <v>0.892857142857143</v>
      </c>
      <c r="O106" s="54" t="n">
        <f aca="false">1/(1+Assumptions!$C$8)^2</f>
        <v>0.79719387755102</v>
      </c>
      <c r="P106" s="54" t="n">
        <f aca="false">1/(1+Assumptions!$C$8)^3</f>
        <v>0.711780247813411</v>
      </c>
    </row>
    <row r="107" customFormat="false" ht="15" hidden="false" customHeight="false" outlineLevel="0" collapsed="false">
      <c r="A107" s="10" t="s">
        <v>638</v>
      </c>
      <c r="B107" s="36" t="s">
        <v>169</v>
      </c>
      <c r="C107" s="53" t="n">
        <f aca="false">C102*C106</f>
        <v>-1300000</v>
      </c>
      <c r="D107" s="53" t="n">
        <f aca="false">D102*D106</f>
        <v>-2616775.88961595</v>
      </c>
      <c r="E107" s="53" t="n">
        <f aca="false">E102*E106</f>
        <v>-1993428.52057878</v>
      </c>
      <c r="F107" s="53" t="n">
        <f aca="false">F102*F106</f>
        <v>-850118.233795652</v>
      </c>
      <c r="H107" s="53" t="n">
        <f aca="false">H102*H106</f>
        <v>-1300000</v>
      </c>
      <c r="I107" s="53" t="n">
        <f aca="false">I102*I106</f>
        <v>-2808868.18409797</v>
      </c>
      <c r="J107" s="53" t="n">
        <f aca="false">J102*J106</f>
        <v>-2355556.30606651</v>
      </c>
      <c r="K107" s="53" t="n">
        <f aca="false">K102*K106</f>
        <v>-1499592.08385677</v>
      </c>
      <c r="M107" s="53" t="n">
        <f aca="false">M102*M106</f>
        <v>-1300000</v>
      </c>
      <c r="N107" s="53" t="n">
        <f aca="false">N102*N106</f>
        <v>-2562919.28212378</v>
      </c>
      <c r="O107" s="53" t="n">
        <f aca="false">O102*O106</f>
        <v>-1766004.80611372</v>
      </c>
      <c r="P107" s="53" t="n">
        <f aca="false">P102*P106</f>
        <v>-320490.984701401</v>
      </c>
    </row>
    <row r="109" customFormat="false" ht="15" hidden="false" customHeight="false" outlineLevel="0" collapsed="false">
      <c r="A109" s="4" t="s">
        <v>639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customFormat="false" ht="15" hidden="false" customHeight="false" outlineLevel="0" collapsed="false">
      <c r="A110" s="10" t="s">
        <v>640</v>
      </c>
      <c r="B110" s="36" t="s">
        <v>169</v>
      </c>
      <c r="F110" s="53" t="n">
        <f aca="false">F50*Assumptions!$E$69*(1-Assumptions!$C$15)*(1-Assumptions!$C$14)</f>
        <v>354403.485336435</v>
      </c>
      <c r="K110" s="53" t="n">
        <f aca="false">K50*Assumptions!$E$69*(1-Assumptions!$C$15)*(1-Assumptions!$C$14)</f>
        <v>203740.453681746</v>
      </c>
      <c r="P110" s="53" t="n">
        <f aca="false">P50*Assumptions!$E$69*(1-Assumptions!$C$15)*(1-Assumptions!$C$14)</f>
        <v>501931.359168265</v>
      </c>
    </row>
    <row r="111" customFormat="false" ht="15" hidden="false" customHeight="false" outlineLevel="0" collapsed="false">
      <c r="A111" s="10" t="s">
        <v>641</v>
      </c>
      <c r="B111" s="36" t="s">
        <v>169</v>
      </c>
      <c r="F111" s="53" t="n">
        <f aca="false">F110*(1+Assumptions!$C$9)/(Assumptions!$C$8-Assumptions!$C$9)*(1-Assumptions!$C$10)</f>
        <v>3244760.79908025</v>
      </c>
      <c r="K111" s="53" t="n">
        <f aca="false">K110*(1+Assumptions!$C$9)/(Assumptions!$C$8-Assumptions!$C$9)*(1-Assumptions!$C$10)</f>
        <v>1865357.04259732</v>
      </c>
      <c r="P111" s="53" t="n">
        <f aca="false">P110*(1+Assumptions!$C$9)/(Assumptions!$C$8-Assumptions!$C$9)*(1-Assumptions!$C$10)</f>
        <v>4595460.44394056</v>
      </c>
    </row>
    <row r="112" customFormat="false" ht="15" hidden="false" customHeight="false" outlineLevel="0" collapsed="false">
      <c r="A112" s="10" t="s">
        <v>642</v>
      </c>
      <c r="B112" s="36" t="s">
        <v>169</v>
      </c>
      <c r="F112" s="53" t="n">
        <f aca="false">F111*F106</f>
        <v>2309556.64566458</v>
      </c>
      <c r="K112" s="53" t="n">
        <f aca="false">K111*K106</f>
        <v>1327724.29804041</v>
      </c>
      <c r="P112" s="53" t="n">
        <f aca="false">P111*P106</f>
        <v>3270957.97360474</v>
      </c>
    </row>
    <row r="114" customFormat="false" ht="15" hidden="false" customHeight="false" outlineLevel="0" collapsed="false">
      <c r="A114" s="4" t="s">
        <v>643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 customFormat="false" ht="15" hidden="false" customHeight="false" outlineLevel="0" collapsed="false">
      <c r="A115" s="10" t="s">
        <v>644</v>
      </c>
      <c r="B115" s="36" t="s">
        <v>127</v>
      </c>
      <c r="D115" s="46" t="n">
        <f aca="false">IF(E50=0,0,MIN(Assumptions!$C$13,F50/E50-1))*Assumptions!$C$12</f>
        <v>0.36</v>
      </c>
      <c r="E115" s="46" t="n">
        <f aca="false">D115*Assumptions!$C$12</f>
        <v>0.216</v>
      </c>
      <c r="F115" s="46" t="n">
        <f aca="false">E115*Assumptions!$C$12</f>
        <v>0.1296</v>
      </c>
      <c r="I115" s="46" t="n">
        <f aca="false">IF(J50=0,0,MIN(Assumptions!$C$13,K50/J50-1))*Assumptions!$C$12</f>
        <v>0.36</v>
      </c>
      <c r="J115" s="46" t="n">
        <f aca="false">I115*Assumptions!$C$12</f>
        <v>0.216</v>
      </c>
      <c r="K115" s="46" t="n">
        <f aca="false">J115*Assumptions!$C$12</f>
        <v>0.1296</v>
      </c>
      <c r="N115" s="46" t="n">
        <f aca="false">IF(O50=0,0,MIN(Assumptions!$C$13,P50/O50-1))*Assumptions!$C$12</f>
        <v>0.36</v>
      </c>
      <c r="O115" s="46" t="n">
        <f aca="false">N115*Assumptions!$C$12</f>
        <v>0.216</v>
      </c>
      <c r="P115" s="46" t="n">
        <f aca="false">O115*Assumptions!$C$12</f>
        <v>0.1296</v>
      </c>
    </row>
    <row r="116" customFormat="false" ht="15" hidden="false" customHeight="false" outlineLevel="0" collapsed="false">
      <c r="A116" s="10" t="s">
        <v>645</v>
      </c>
      <c r="B116" s="36" t="s">
        <v>169</v>
      </c>
      <c r="D116" s="53" t="n">
        <f aca="false">F50*(1+D115)</f>
        <v>3914788.33704964</v>
      </c>
      <c r="E116" s="53" t="n">
        <f aca="false">D116*(1+E115)</f>
        <v>4760382.61785236</v>
      </c>
      <c r="F116" s="53" t="n">
        <f aca="false">E116*(1+F115)</f>
        <v>5377328.20512602</v>
      </c>
      <c r="I116" s="53" t="n">
        <f aca="false">K50*(1+I115)</f>
        <v>2250544.32267036</v>
      </c>
      <c r="J116" s="53" t="n">
        <f aca="false">I116*(1+J115)</f>
        <v>2736661.89636716</v>
      </c>
      <c r="K116" s="53" t="n">
        <f aca="false">J116*(1+K115)</f>
        <v>3091333.27813634</v>
      </c>
      <c r="N116" s="53" t="n">
        <f aca="false">P50*(1+N115)</f>
        <v>5544400.97846686</v>
      </c>
      <c r="O116" s="53" t="n">
        <f aca="false">N116*(1+O115)</f>
        <v>6741991.58981571</v>
      </c>
      <c r="P116" s="53" t="n">
        <f aca="false">O116*(1+P115)</f>
        <v>7615753.69985582</v>
      </c>
    </row>
    <row r="117" customFormat="false" ht="15" hidden="false" customHeight="false" outlineLevel="0" collapsed="false">
      <c r="A117" s="10" t="s">
        <v>646</v>
      </c>
      <c r="B117" s="36" t="s">
        <v>169</v>
      </c>
      <c r="D117" s="53" t="n">
        <f aca="false">(F50+D116)/2</f>
        <v>3396654.58655777</v>
      </c>
      <c r="E117" s="53" t="n">
        <f aca="false">(D116+E116)/2</f>
        <v>4337585.477451</v>
      </c>
      <c r="F117" s="53" t="n">
        <f aca="false">(E116+F116)/2</f>
        <v>5068855.41148919</v>
      </c>
      <c r="I117" s="53" t="n">
        <f aca="false">(K50+I116)/2</f>
        <v>1952678.16231693</v>
      </c>
      <c r="J117" s="53" t="n">
        <f aca="false">(I116+J116)/2</f>
        <v>2493603.10951876</v>
      </c>
      <c r="K117" s="53" t="n">
        <f aca="false">(J116+K116)/2</f>
        <v>2913997.58725175</v>
      </c>
      <c r="N117" s="53" t="n">
        <f aca="false">(P50+N116)/2</f>
        <v>4810583.20190507</v>
      </c>
      <c r="O117" s="53" t="n">
        <f aca="false">(N116+O116)/2</f>
        <v>6143196.28414128</v>
      </c>
      <c r="P117" s="53" t="n">
        <f aca="false">(O116+P116)/2</f>
        <v>7178872.64483576</v>
      </c>
    </row>
    <row r="118" customFormat="false" ht="15" hidden="false" customHeight="false" outlineLevel="0" collapsed="false">
      <c r="A118" s="10" t="s">
        <v>647</v>
      </c>
      <c r="B118" s="36" t="s">
        <v>127</v>
      </c>
      <c r="D118" s="46" t="n">
        <f aca="false">IF(F50=0,0,F79/F50)+(Assumptions!$E$69-IF(F50=0,0,F79/F50))*1/3</f>
        <v>-0.244341819664977</v>
      </c>
      <c r="E118" s="46" t="n">
        <f aca="false">IF(F50=0,0,F79/F50)+(Assumptions!$E$69-IF(F50=0,0,F79/F50))*2/3</f>
        <v>-0.0321709098324883</v>
      </c>
      <c r="F118" s="46" t="n">
        <f aca="false">IF(F50=0,0,F79/F50)+(Assumptions!$E$69-IF(F50=0,0,F79/F50))*3/3</f>
        <v>0.18</v>
      </c>
      <c r="I118" s="46" t="n">
        <f aca="false">IF(K50=0,0,K79/K50)+(Assumptions!$E$69-IF(K50=0,0,K79/K50))*1/3</f>
        <v>-0.816049339523366</v>
      </c>
      <c r="J118" s="46" t="n">
        <f aca="false">IF(K50=0,0,K79/K50)+(Assumptions!$E$69-IF(K50=0,0,K79/K50))*2/3</f>
        <v>-0.318024669761683</v>
      </c>
      <c r="K118" s="46" t="n">
        <f aca="false">IF(K50=0,0,K79/K50)+(Assumptions!$E$69-IF(K50=0,0,K79/K50))*3/3</f>
        <v>0.18</v>
      </c>
      <c r="N118" s="46" t="n">
        <f aca="false">IF(P50=0,0,P79/P50)+(Assumptions!$E$69-IF(P50=0,0,P79/P50))*1/3</f>
        <v>-0.0416328719525285</v>
      </c>
      <c r="O118" s="46" t="n">
        <f aca="false">IF(P50=0,0,P79/P50)+(Assumptions!$E$69-IF(P50=0,0,P79/P50))*2/3</f>
        <v>0.0691835640237357</v>
      </c>
      <c r="P118" s="46" t="n">
        <f aca="false">IF(P50=0,0,P79/P50)+(Assumptions!$E$69-IF(P50=0,0,P79/P50))*3/3</f>
        <v>0.18</v>
      </c>
    </row>
    <row r="119" customFormat="false" ht="15" hidden="false" customHeight="false" outlineLevel="0" collapsed="false">
      <c r="A119" s="7" t="s">
        <v>648</v>
      </c>
      <c r="B119" s="36" t="s">
        <v>169</v>
      </c>
      <c r="D119" s="52" t="n">
        <f aca="false">D117*D118</f>
        <v>-829944.762452915</v>
      </c>
      <c r="E119" s="52" t="n">
        <f aca="false">E117*E118</f>
        <v>-139544.071285787</v>
      </c>
      <c r="F119" s="52" t="n">
        <f aca="false">F117*F118</f>
        <v>912393.974068054</v>
      </c>
      <c r="I119" s="52" t="n">
        <f aca="false">I117*I118</f>
        <v>-1593481.72466043</v>
      </c>
      <c r="J119" s="52" t="n">
        <f aca="false">J117*J118</f>
        <v>-793027.305421409</v>
      </c>
      <c r="K119" s="52" t="n">
        <f aca="false">K117*K118</f>
        <v>524519.565705315</v>
      </c>
      <c r="N119" s="52" t="n">
        <f aca="false">N117*N118</f>
        <v>-200278.394461899</v>
      </c>
      <c r="O119" s="52" t="n">
        <f aca="false">O117*O118</f>
        <v>425008.213434264</v>
      </c>
      <c r="P119" s="52" t="n">
        <f aca="false">P117*P118</f>
        <v>1292197.07607044</v>
      </c>
    </row>
    <row r="120" customFormat="false" ht="15" hidden="false" customHeight="false" outlineLevel="0" collapsed="false">
      <c r="A120" s="10" t="s">
        <v>649</v>
      </c>
      <c r="B120" s="36" t="s">
        <v>169</v>
      </c>
      <c r="D120" s="53" t="n">
        <f aca="false">F91</f>
        <v>8167147.32425417</v>
      </c>
      <c r="E120" s="53" t="n">
        <f aca="false">D122</f>
        <v>8997092.08670709</v>
      </c>
      <c r="F120" s="53" t="n">
        <f aca="false">E122</f>
        <v>9136636.15799287</v>
      </c>
      <c r="I120" s="53" t="n">
        <f aca="false">K91</f>
        <v>9667855.31692044</v>
      </c>
      <c r="J120" s="53" t="n">
        <f aca="false">I122</f>
        <v>11261337.0415809</v>
      </c>
      <c r="K120" s="53" t="n">
        <f aca="false">J122</f>
        <v>12054364.3470023</v>
      </c>
      <c r="N120" s="53" t="n">
        <f aca="false">P91</f>
        <v>7160716.26915716</v>
      </c>
      <c r="O120" s="53" t="n">
        <f aca="false">N122</f>
        <v>7360994.66361905</v>
      </c>
      <c r="P120" s="53" t="n">
        <f aca="false">O122</f>
        <v>6935986.45018479</v>
      </c>
    </row>
    <row r="121" customFormat="false" ht="15" hidden="false" customHeight="false" outlineLevel="0" collapsed="false">
      <c r="A121" s="10" t="s">
        <v>650</v>
      </c>
      <c r="B121" s="36" t="s">
        <v>169</v>
      </c>
      <c r="D121" s="53" t="n">
        <f aca="false">MIN(D120,MAX(D119,0))</f>
        <v>0</v>
      </c>
      <c r="E121" s="53" t="n">
        <f aca="false">MIN(E120,MAX(E119,0))</f>
        <v>0</v>
      </c>
      <c r="F121" s="53" t="n">
        <f aca="false">MIN(F120,MAX(F119,0))</f>
        <v>912393.974068054</v>
      </c>
      <c r="I121" s="53" t="n">
        <f aca="false">MIN(I120,MAX(I119,0))</f>
        <v>0</v>
      </c>
      <c r="J121" s="53" t="n">
        <f aca="false">MIN(J120,MAX(J119,0))</f>
        <v>0</v>
      </c>
      <c r="K121" s="53" t="n">
        <f aca="false">MIN(K120,MAX(K119,0))</f>
        <v>524519.565705315</v>
      </c>
      <c r="N121" s="53" t="n">
        <f aca="false">MIN(N120,MAX(N119,0))</f>
        <v>0</v>
      </c>
      <c r="O121" s="53" t="n">
        <f aca="false">MIN(O120,MAX(O119,0))</f>
        <v>425008.213434264</v>
      </c>
      <c r="P121" s="53" t="n">
        <f aca="false">MIN(P120,MAX(P119,0))</f>
        <v>1292197.07607044</v>
      </c>
    </row>
    <row r="122" customFormat="false" ht="15" hidden="false" customHeight="false" outlineLevel="0" collapsed="false">
      <c r="A122" s="10" t="s">
        <v>651</v>
      </c>
      <c r="B122" s="36" t="s">
        <v>169</v>
      </c>
      <c r="D122" s="53" t="n">
        <f aca="false">D120-D121+MAX(-D119,0)</f>
        <v>8997092.08670709</v>
      </c>
      <c r="E122" s="53" t="n">
        <f aca="false">E120-E121+MAX(-E119,0)</f>
        <v>9136636.15799287</v>
      </c>
      <c r="F122" s="53" t="n">
        <f aca="false">F120-F121+MAX(-F119,0)</f>
        <v>8224242.18392482</v>
      </c>
      <c r="I122" s="53" t="n">
        <f aca="false">I120-I121+MAX(-I119,0)</f>
        <v>11261337.0415809</v>
      </c>
      <c r="J122" s="53" t="n">
        <f aca="false">J120-J121+MAX(-J119,0)</f>
        <v>12054364.3470023</v>
      </c>
      <c r="K122" s="53" t="n">
        <f aca="false">K120-K121+MAX(-K119,0)</f>
        <v>11529844.781297</v>
      </c>
      <c r="N122" s="53" t="n">
        <f aca="false">N120-N121+MAX(-N119,0)</f>
        <v>7360994.66361905</v>
      </c>
      <c r="O122" s="53" t="n">
        <f aca="false">O120-O121+MAX(-O119,0)</f>
        <v>6935986.45018479</v>
      </c>
      <c r="P122" s="53" t="n">
        <f aca="false">P120-P121+MAX(-P119,0)</f>
        <v>5643789.37411435</v>
      </c>
    </row>
    <row r="123" customFormat="false" ht="15" hidden="false" customHeight="false" outlineLevel="0" collapsed="false">
      <c r="A123" s="10" t="s">
        <v>652</v>
      </c>
      <c r="B123" s="36" t="s">
        <v>169</v>
      </c>
      <c r="D123" s="53" t="n">
        <f aca="false">(MAX(D119,0)-D121)*F87</f>
        <v>0</v>
      </c>
      <c r="E123" s="53" t="n">
        <f aca="false">(MAX(E119,0)-E121)*F87</f>
        <v>0</v>
      </c>
      <c r="F123" s="53" t="n">
        <f aca="false">(MAX(F119,0)-F121)*F87</f>
        <v>0</v>
      </c>
      <c r="I123" s="53" t="n">
        <f aca="false">(MAX(I119,0)-I121)*K87</f>
        <v>0</v>
      </c>
      <c r="J123" s="53" t="n">
        <f aca="false">(MAX(J119,0)-J121)*K87</f>
        <v>0</v>
      </c>
      <c r="K123" s="53" t="n">
        <f aca="false">(MAX(K119,0)-K121)*K87</f>
        <v>0</v>
      </c>
      <c r="N123" s="53" t="n">
        <f aca="false">(MAX(N119,0)-N121)*P87</f>
        <v>0</v>
      </c>
      <c r="O123" s="53" t="n">
        <f aca="false">(MAX(O119,0)-O121)*P87</f>
        <v>0</v>
      </c>
      <c r="P123" s="53" t="n">
        <f aca="false">(MAX(P119,0)-P121)*P87</f>
        <v>0</v>
      </c>
    </row>
    <row r="124" customFormat="false" ht="15" hidden="false" customHeight="false" outlineLevel="0" collapsed="false">
      <c r="A124" s="7" t="s">
        <v>653</v>
      </c>
      <c r="B124" s="36" t="s">
        <v>169</v>
      </c>
      <c r="D124" s="52" t="n">
        <f aca="false">D119-D123-Assumptions!$C$14*MAX(D119-D123,0)</f>
        <v>-829944.762452915</v>
      </c>
      <c r="E124" s="52" t="n">
        <f aca="false">E119-E123-Assumptions!$C$14*MAX(E119-E123,0)</f>
        <v>-139544.071285787</v>
      </c>
      <c r="F124" s="52" t="n">
        <f aca="false">F119-F123-Assumptions!$C$14*MAX(F119-F123,0)</f>
        <v>821154.576661249</v>
      </c>
      <c r="I124" s="52" t="n">
        <f aca="false">I119-I123-Assumptions!$C$14*MAX(I119-I123,0)</f>
        <v>-1593481.72466043</v>
      </c>
      <c r="J124" s="52" t="n">
        <f aca="false">J119-J123-Assumptions!$C$14*MAX(J119-J123,0)</f>
        <v>-793027.305421409</v>
      </c>
      <c r="K124" s="52" t="n">
        <f aca="false">K119-K123-Assumptions!$C$14*MAX(K119-K123,0)</f>
        <v>472067.609134783</v>
      </c>
      <c r="N124" s="52" t="n">
        <f aca="false">N119-N123-Assumptions!$C$14*MAX(N119-N123,0)</f>
        <v>-200278.394461899</v>
      </c>
      <c r="O124" s="52" t="n">
        <f aca="false">O119-O123-Assumptions!$C$14*MAX(O119-O123,0)</f>
        <v>382507.392090838</v>
      </c>
      <c r="P124" s="52" t="n">
        <f aca="false">P119-P123-Assumptions!$C$14*MAX(P119-P123,0)</f>
        <v>1162977.36846339</v>
      </c>
    </row>
    <row r="125" customFormat="false" ht="15" hidden="false" customHeight="false" outlineLevel="0" collapsed="false">
      <c r="A125" s="10" t="s">
        <v>654</v>
      </c>
      <c r="B125" s="36" t="s">
        <v>169</v>
      </c>
      <c r="D125" s="53" t="n">
        <f aca="false">F103+D124</f>
        <v>-8755645.40500685</v>
      </c>
      <c r="E125" s="53" t="n">
        <f aca="false">D125+E124</f>
        <v>-8895189.47629264</v>
      </c>
      <c r="F125" s="53" t="n">
        <f aca="false">E125+F124</f>
        <v>-8074034.89963139</v>
      </c>
      <c r="I125" s="53" t="n">
        <f aca="false">K103+I124</f>
        <v>-11101042.8283687</v>
      </c>
      <c r="J125" s="53" t="n">
        <f aca="false">I125+J124</f>
        <v>-11894070.1337901</v>
      </c>
      <c r="K125" s="53" t="n">
        <f aca="false">J125+K124</f>
        <v>-11422002.5246553</v>
      </c>
      <c r="N125" s="53" t="n">
        <f aca="false">P103+N124</f>
        <v>-7036291.17738415</v>
      </c>
      <c r="O125" s="53" t="n">
        <f aca="false">N125+O124</f>
        <v>-6653783.78529331</v>
      </c>
      <c r="P125" s="53" t="n">
        <f aca="false">O125+P124</f>
        <v>-5490806.41682992</v>
      </c>
    </row>
    <row r="126" customFormat="false" ht="15" hidden="false" customHeight="false" outlineLevel="0" collapsed="false">
      <c r="A126" s="10" t="s">
        <v>655</v>
      </c>
      <c r="B126" s="36" t="s">
        <v>169</v>
      </c>
      <c r="D126" s="53" t="n">
        <f aca="false">D124/(1+Assumptions!$C$8)^4</f>
        <v>-527444.90061623</v>
      </c>
      <c r="E126" s="53" t="n">
        <f aca="false">E124/(1+Assumptions!$C$8)^5</f>
        <v>-79181.053603866</v>
      </c>
      <c r="F126" s="53" t="n">
        <f aca="false">F124/(1+Assumptions!$C$8)^6</f>
        <v>416022.463833777</v>
      </c>
      <c r="I126" s="53" t="n">
        <f aca="false">I124/(1+Assumptions!$C$8)^4</f>
        <v>-1012686.44362941</v>
      </c>
      <c r="J126" s="53" t="n">
        <f aca="false">J124/(1+Assumptions!$C$8)^5</f>
        <v>-449984.990414263</v>
      </c>
      <c r="K126" s="53" t="n">
        <f aca="false">K124/(1+Assumptions!$C$8)^6</f>
        <v>239164.142087452</v>
      </c>
      <c r="N126" s="53" t="n">
        <f aca="false">N124/(1+Assumptions!$C$8)^4</f>
        <v>-127280.540394431</v>
      </c>
      <c r="O126" s="53" t="n">
        <f aca="false">O124/(1+Assumptions!$C$8)^5</f>
        <v>217044.966783225</v>
      </c>
      <c r="P126" s="53" t="n">
        <f aca="false">P124/(1+Assumptions!$C$8)^6</f>
        <v>589200.528088459</v>
      </c>
    </row>
    <row r="127" customFormat="false" ht="15" hidden="false" customHeight="false" outlineLevel="0" collapsed="false">
      <c r="A127" s="10" t="s">
        <v>656</v>
      </c>
      <c r="B127" s="36" t="s">
        <v>169</v>
      </c>
      <c r="F127" s="53" t="n">
        <f aca="false">F116*Assumptions!$E$69*(1-Assumptions!$C$15)*(1-Assumptions!$C$14)</f>
        <v>662056.648615116</v>
      </c>
      <c r="K127" s="53" t="n">
        <f aca="false">K116*Assumptions!$E$69*(1-Assumptions!$C$15)*(1-Assumptions!$C$14)</f>
        <v>380604.953204146</v>
      </c>
      <c r="P127" s="53" t="n">
        <f aca="false">P116*Assumptions!$E$69*(1-Assumptions!$C$15)*(1-Assumptions!$C$14)</f>
        <v>937651.595526248</v>
      </c>
    </row>
    <row r="128" customFormat="false" ht="15" hidden="false" customHeight="false" outlineLevel="0" collapsed="false">
      <c r="A128" s="10" t="s">
        <v>657</v>
      </c>
      <c r="B128" s="36" t="s">
        <v>169</v>
      </c>
      <c r="F128" s="53" t="n">
        <f aca="false">F127*(1+Assumptions!$C$9)/(Assumptions!$C$8-Assumptions!$C$9)*(1-Assumptions!$C$10)</f>
        <v>6061496.42732062</v>
      </c>
      <c r="K128" s="53" t="n">
        <f aca="false">K127*(1+Assumptions!$C$9)/(Assumptions!$C$8-Assumptions!$C$9)*(1-Assumptions!$C$10)</f>
        <v>3484649.79378018</v>
      </c>
      <c r="P128" s="53" t="n">
        <f aca="false">P127*(1+Assumptions!$C$9)/(Assumptions!$C$8-Assumptions!$C$9)*(1-Assumptions!$C$10)</f>
        <v>8584721.27459588</v>
      </c>
    </row>
    <row r="129" customFormat="false" ht="15" hidden="false" customHeight="false" outlineLevel="0" collapsed="false">
      <c r="A129" s="10" t="s">
        <v>658</v>
      </c>
      <c r="B129" s="36" t="s">
        <v>169</v>
      </c>
      <c r="F129" s="53" t="n">
        <f aca="false">F128/(1+Assumptions!$C$8)^6</f>
        <v>3070942.73098577</v>
      </c>
      <c r="K129" s="53" t="n">
        <f aca="false">K128/(1+Assumptions!$C$8)^6</f>
        <v>1765432.03193317</v>
      </c>
      <c r="P129" s="53" t="n">
        <f aca="false">P128/(1+Assumptions!$C$8)^6</f>
        <v>4349286.96434331</v>
      </c>
    </row>
    <row r="131" customFormat="false" ht="15" hidden="false" customHeight="false" outlineLevel="0" collapsed="false">
      <c r="A131" s="4" t="s">
        <v>659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customFormat="false" ht="15" hidden="false" customHeight="false" outlineLevel="0" collapsed="false">
      <c r="A132" s="56" t="s">
        <v>660</v>
      </c>
      <c r="B132" s="80" t="s">
        <v>169</v>
      </c>
      <c r="C132" s="57" t="n">
        <f aca="false">SUM(D49:F49)</f>
        <v>3471494.38730863</v>
      </c>
      <c r="H132" s="57" t="n">
        <f aca="false">SUM(I49:K49)</f>
        <v>2166388.7026296</v>
      </c>
      <c r="M132" s="57" t="n">
        <f aca="false">SUM(N49:P49)</f>
        <v>4747020.2099888</v>
      </c>
    </row>
    <row r="133" customFormat="false" ht="15" hidden="false" customHeight="false" outlineLevel="0" collapsed="false">
      <c r="A133" s="56" t="s">
        <v>69</v>
      </c>
      <c r="B133" s="80" t="s">
        <v>169</v>
      </c>
      <c r="C133" s="57" t="n">
        <f aca="false">F49</f>
        <v>2314355.08810863</v>
      </c>
      <c r="H133" s="57" t="n">
        <f aca="false">K49</f>
        <v>1423014.6520068</v>
      </c>
      <c r="M133" s="57" t="n">
        <f aca="false">P49</f>
        <v>3186341.70662096</v>
      </c>
    </row>
    <row r="134" customFormat="false" ht="15" hidden="false" customHeight="false" outlineLevel="0" collapsed="false">
      <c r="A134" s="56" t="s">
        <v>70</v>
      </c>
      <c r="B134" s="80" t="s">
        <v>169</v>
      </c>
      <c r="C134" s="57" t="n">
        <f aca="false">F50</f>
        <v>2878520.83606591</v>
      </c>
      <c r="H134" s="57" t="n">
        <f aca="false">K50</f>
        <v>1654812.0019635</v>
      </c>
      <c r="M134" s="57" t="n">
        <f aca="false">P50</f>
        <v>4076765.42534328</v>
      </c>
    </row>
    <row r="135" customFormat="false" ht="15" hidden="false" customHeight="false" outlineLevel="0" collapsed="false">
      <c r="A135" s="56" t="s">
        <v>373</v>
      </c>
      <c r="B135" s="80" t="s">
        <v>550</v>
      </c>
      <c r="C135" s="58" t="n">
        <f aca="false">F34</f>
        <v>352.76704</v>
      </c>
      <c r="H135" s="58" t="n">
        <f aca="false">K34</f>
        <v>225.317144</v>
      </c>
      <c r="M135" s="58" t="n">
        <f aca="false">P34</f>
        <v>462.622108</v>
      </c>
    </row>
    <row r="136" customFormat="false" ht="15" hidden="false" customHeight="false" outlineLevel="0" collapsed="false">
      <c r="A136" s="56" t="s">
        <v>72</v>
      </c>
      <c r="B136" s="80" t="s">
        <v>169</v>
      </c>
      <c r="C136" s="57" t="n">
        <f aca="false">F79</f>
        <v>-1314081.40378777</v>
      </c>
      <c r="H136" s="57" t="n">
        <f aca="false">K79</f>
        <v>-2174545.44203319</v>
      </c>
      <c r="M136" s="57" t="n">
        <f aca="false">P79</f>
        <v>-621500.067681614</v>
      </c>
    </row>
    <row r="137" customFormat="false" ht="15" hidden="false" customHeight="false" outlineLevel="0" collapsed="false">
      <c r="A137" s="56" t="s">
        <v>73</v>
      </c>
      <c r="B137" s="80" t="s">
        <v>127</v>
      </c>
      <c r="C137" s="81" t="n">
        <f aca="false">F80</f>
        <v>-0.567795931808235</v>
      </c>
      <c r="H137" s="81" t="n">
        <f aca="false">K80</f>
        <v>-1.52812582707181</v>
      </c>
      <c r="M137" s="81" t="n">
        <f aca="false">P80</f>
        <v>-0.195051292330068</v>
      </c>
    </row>
    <row r="138" customFormat="false" ht="15" hidden="false" customHeight="false" outlineLevel="0" collapsed="false">
      <c r="A138" s="56" t="s">
        <v>74</v>
      </c>
      <c r="B138" s="80"/>
      <c r="C138" s="56" t="str">
        <f aca="false">IF(D79&gt;0,"Year 1",IF(E79&gt;0,"Year 2",IF(F79&gt;0,"Year 3","After Year 3")))</f>
        <v>After Year 3</v>
      </c>
      <c r="H138" s="56" t="str">
        <f aca="false">IF(I79&gt;0,"Year 1",IF(J79&gt;0,"Year 2",IF(K79&gt;0,"Year 3","After Year 3")))</f>
        <v>After Year 3</v>
      </c>
      <c r="M138" s="56" t="str">
        <f aca="false">IF(N79&gt;0,"Year 1",IF(O79&gt;0,"Year 2",IF(P79&gt;0,"Year 3","After Year 3")))</f>
        <v>After Year 3</v>
      </c>
    </row>
    <row r="139" customFormat="false" ht="15" hidden="false" customHeight="false" outlineLevel="0" collapsed="false">
      <c r="A139" s="56" t="s">
        <v>661</v>
      </c>
      <c r="B139" s="80"/>
      <c r="C139" s="56" t="str">
        <f aca="false">IF(D103&gt;=0,"Year 1",IF(E103&gt;=0,"Year 2",IF(F103&gt;=0,"Year 3","Beyond Year 3")))</f>
        <v>Beyond Year 3</v>
      </c>
      <c r="H139" s="56" t="str">
        <f aca="false">IF(I103&gt;=0,"Year 1",IF(J103&gt;=0,"Year 2",IF(K103&gt;=0,"Year 3","Beyond Year 3")))</f>
        <v>Beyond Year 3</v>
      </c>
      <c r="M139" s="56" t="str">
        <f aca="false">IF(N103&gt;=0,"Year 1",IF(O103&gt;=0,"Year 2",IF(P103&gt;=0,"Year 3","Beyond Year 3")))</f>
        <v>Beyond Year 3</v>
      </c>
    </row>
    <row r="140" customFormat="false" ht="15" hidden="false" customHeight="false" outlineLevel="0" collapsed="false">
      <c r="A140" s="56" t="s">
        <v>662</v>
      </c>
      <c r="B140" s="80" t="s">
        <v>169</v>
      </c>
      <c r="C140" s="57" t="n">
        <f aca="false">MAX(0,-MIN(C103:F103))</f>
        <v>7925700.64255394</v>
      </c>
      <c r="H140" s="57" t="n">
        <f aca="false">MAX(0,-MIN(H103:K103))</f>
        <v>9507561.10370828</v>
      </c>
      <c r="M140" s="57" t="n">
        <f aca="false">MAX(0,-MIN(M103:P103))</f>
        <v>6836012.78292225</v>
      </c>
    </row>
    <row r="141" customFormat="false" ht="15" hidden="false" customHeight="false" outlineLevel="0" collapsed="false">
      <c r="A141" s="56" t="s">
        <v>663</v>
      </c>
      <c r="B141" s="80" t="s">
        <v>169</v>
      </c>
      <c r="C141" s="57" t="n">
        <f aca="false">MAX(0,-MIN(C103:F103,IF(Assumptions!$C$11=1,MIN(D125:F125),0)))</f>
        <v>8895189.47629264</v>
      </c>
      <c r="H141" s="57" t="n">
        <f aca="false">MAX(0,-MIN(H103:K103,IF(Assumptions!$C$11=1,MIN(I125:K125),0)))</f>
        <v>11894070.1337901</v>
      </c>
      <c r="M141" s="57" t="n">
        <f aca="false">MAX(0,-MIN(M103:P103,IF(Assumptions!$C$11=1,MIN(N125:P125),0)))</f>
        <v>7036291.17738415</v>
      </c>
    </row>
    <row r="142" customFormat="false" ht="15" hidden="false" customHeight="false" outlineLevel="0" collapsed="false">
      <c r="A142" s="56" t="s">
        <v>664</v>
      </c>
      <c r="B142" s="80" t="s">
        <v>169</v>
      </c>
      <c r="C142" s="57" t="n">
        <f aca="false">MAX(0,-D103)</f>
        <v>4230788.99636986</v>
      </c>
      <c r="H142" s="57" t="n">
        <f aca="false">MAX(0,-I103)</f>
        <v>4445932.36618973</v>
      </c>
      <c r="M142" s="57" t="n">
        <f aca="false">MAX(0,-N103)</f>
        <v>4170469.59597863</v>
      </c>
    </row>
    <row r="143" customFormat="false" ht="15" hidden="false" customHeight="false" outlineLevel="0" collapsed="false">
      <c r="A143" s="56" t="s">
        <v>665</v>
      </c>
      <c r="B143" s="80" t="s">
        <v>169</v>
      </c>
      <c r="C143" s="57" t="n">
        <f aca="false">SUM(C107:F107)</f>
        <v>-6760322.64399038</v>
      </c>
      <c r="H143" s="57" t="n">
        <f aca="false">SUM(H107:K107)</f>
        <v>-7964016.57402125</v>
      </c>
      <c r="M143" s="57" t="n">
        <f aca="false">SUM(M107:P107)</f>
        <v>-5949415.0729389</v>
      </c>
    </row>
    <row r="144" customFormat="false" ht="15" hidden="false" customHeight="false" outlineLevel="0" collapsed="false">
      <c r="A144" s="56" t="s">
        <v>666</v>
      </c>
      <c r="B144" s="80" t="s">
        <v>169</v>
      </c>
      <c r="C144" s="57" t="n">
        <f aca="false">IF(Assumptions!$C$11=1,SUM(D126:F126)+F129,F112)</f>
        <v>2880339.24059945</v>
      </c>
      <c r="H144" s="57" t="n">
        <f aca="false">IF(Assumptions!$C$11=1,SUM(I126:K126)+K129,K112)</f>
        <v>541924.73997695</v>
      </c>
      <c r="M144" s="57" t="n">
        <f aca="false">IF(Assumptions!$C$11=1,SUM(N126:P126)+P129,P112)</f>
        <v>5028251.91882056</v>
      </c>
    </row>
    <row r="145" customFormat="false" ht="15" hidden="false" customHeight="false" outlineLevel="0" collapsed="false">
      <c r="A145" s="56" t="s">
        <v>667</v>
      </c>
      <c r="B145" s="80" t="s">
        <v>169</v>
      </c>
      <c r="C145" s="57" t="n">
        <f aca="false">C143+F112</f>
        <v>-4450765.9983258</v>
      </c>
      <c r="H145" s="57" t="n">
        <f aca="false">H143+K112</f>
        <v>-6636292.27598084</v>
      </c>
      <c r="M145" s="57" t="n">
        <f aca="false">M143+P112</f>
        <v>-2678457.09933416</v>
      </c>
    </row>
    <row r="146" customFormat="false" ht="15" hidden="false" customHeight="false" outlineLevel="0" collapsed="false">
      <c r="A146" s="56" t="s">
        <v>668</v>
      </c>
      <c r="B146" s="80" t="s">
        <v>169</v>
      </c>
      <c r="C146" s="57" t="n">
        <f aca="false">C143+C144</f>
        <v>-3879983.40339093</v>
      </c>
      <c r="H146" s="57" t="n">
        <f aca="false">H143+H144</f>
        <v>-7422091.8340443</v>
      </c>
      <c r="M146" s="57" t="n">
        <f aca="false">M143+M144</f>
        <v>-921163.15411834</v>
      </c>
    </row>
    <row r="147" customFormat="false" ht="15" hidden="false" customHeight="false" outlineLevel="0" collapsed="false">
      <c r="A147" s="56" t="s">
        <v>669</v>
      </c>
      <c r="B147" s="80" t="s">
        <v>127</v>
      </c>
      <c r="C147" s="82" t="n">
        <f aca="false">IRR_Calc!$K$11</f>
        <v>-0.059142007073833</v>
      </c>
      <c r="H147" s="82" t="n">
        <f aca="false">IRR_Calc!$K$12</f>
        <v>-0.268778072867539</v>
      </c>
      <c r="M147" s="82" t="n">
        <f aca="false">IRR_Calc!$K$13</f>
        <v>0.0814930843731309</v>
      </c>
    </row>
    <row r="148" customFormat="false" ht="15" hidden="false" customHeight="false" outlineLevel="0" collapsed="false">
      <c r="A148" s="56" t="s">
        <v>670</v>
      </c>
      <c r="B148" s="80" t="s">
        <v>137</v>
      </c>
      <c r="C148" s="83" t="n">
        <f aca="false">IF(C141=0,0,C146/C141)</f>
        <v>-0.436188955134887</v>
      </c>
      <c r="H148" s="83" t="n">
        <f aca="false">IF(H141=0,0,H146/H141)</f>
        <v>-0.624016148430025</v>
      </c>
      <c r="M148" s="83" t="n">
        <f aca="false">IF(M141=0,0,M146/M141)</f>
        <v>-0.130916008291288</v>
      </c>
    </row>
    <row r="149" customFormat="false" ht="15" hidden="false" customHeight="false" outlineLevel="0" collapsed="false">
      <c r="A149" s="56" t="s">
        <v>671</v>
      </c>
      <c r="B149" s="80" t="s">
        <v>137</v>
      </c>
      <c r="C149" s="83" t="n">
        <f aca="false">IF(F50=0,0,IF(Assumptions!$C$11=1,F128,F111)/F50)</f>
        <v>2.10576777884467</v>
      </c>
      <c r="H149" s="83" t="n">
        <f aca="false">IF(K50=0,0,IF(Assumptions!$C$11=1,K128,K111)/K50)</f>
        <v>2.10576777884467</v>
      </c>
      <c r="M149" s="83" t="n">
        <f aca="false">IF(P50=0,0,IF(Assumptions!$C$11=1,P128,P111)/P50)</f>
        <v>2.10576777884467</v>
      </c>
    </row>
    <row r="150" customFormat="false" ht="15" hidden="false" customHeight="false" outlineLevel="0" collapsed="false">
      <c r="A150" s="56" t="s">
        <v>672</v>
      </c>
      <c r="B150" s="80" t="s">
        <v>673</v>
      </c>
      <c r="C150" s="66" t="n">
        <f aca="false">C146*Assumptions!$C$7/10000000</f>
        <v>-9.11796099796868</v>
      </c>
      <c r="H150" s="66" t="n">
        <f aca="false">H146*Assumptions!$C$7/10000000</f>
        <v>-17.4419158100041</v>
      </c>
      <c r="M150" s="66" t="n">
        <f aca="false">M146*Assumptions!$C$7/10000000</f>
        <v>-2.1647334121781</v>
      </c>
    </row>
    <row r="151" customFormat="false" ht="15" hidden="false" customHeight="false" outlineLevel="0" collapsed="false">
      <c r="A151" s="56" t="s">
        <v>674</v>
      </c>
      <c r="B151" s="80" t="s">
        <v>169</v>
      </c>
      <c r="C151" s="57" t="n">
        <f aca="false">ROUND(C143-(C102+NPV(Assumptions!$C$8,D102:F102)),2)</f>
        <v>0</v>
      </c>
      <c r="H151" s="57" t="n">
        <f aca="false">ROUND(H143-(H102+NPV(Assumptions!$C$8,I102:K102)),2)</f>
        <v>0</v>
      </c>
      <c r="M151" s="57" t="n">
        <f aca="false">ROUND(M143-(M102+NPV(Assumptions!$C$8,N102:P102)),2)</f>
        <v>0</v>
      </c>
    </row>
  </sheetData>
  <mergeCells count="3">
    <mergeCell ref="C4:F4"/>
    <mergeCell ref="H4:K4"/>
    <mergeCell ref="M4:P4"/>
  </mergeCells>
  <conditionalFormatting sqref="C79:F79">
    <cfRule type="cellIs" priority="2" operator="lessThan" aboveAverage="0" equalAverage="0" bottom="0" percent="0" rank="0" text="" dxfId="2">
      <formula>0</formula>
    </cfRule>
  </conditionalFormatting>
  <conditionalFormatting sqref="H79:K79">
    <cfRule type="cellIs" priority="3" operator="lessThan" aboveAverage="0" equalAverage="0" bottom="0" percent="0" rank="0" text="" dxfId="2">
      <formula>0</formula>
    </cfRule>
  </conditionalFormatting>
  <conditionalFormatting sqref="M79:P79">
    <cfRule type="cellIs" priority="4" operator="lessThan" aboveAverage="0" equalAverage="0" bottom="0" percent="0" rank="0" text="" dxfId="2">
      <formula>0</formula>
    </cfRule>
  </conditionalFormatting>
  <conditionalFormatting sqref="C102:F102">
    <cfRule type="cellIs" priority="5" operator="lessThan" aboveAverage="0" equalAverage="0" bottom="0" percent="0" rank="0" text="" dxfId="2">
      <formula>0</formula>
    </cfRule>
  </conditionalFormatting>
  <conditionalFormatting sqref="H102:K102">
    <cfRule type="cellIs" priority="6" operator="lessThan" aboveAverage="0" equalAverage="0" bottom="0" percent="0" rank="0" text="" dxfId="2">
      <formula>0</formula>
    </cfRule>
  </conditionalFormatting>
  <conditionalFormatting sqref="M102:P102">
    <cfRule type="cellIs" priority="7" operator="lessThan" aboveAverage="0" equalAverage="0" bottom="0" percent="0" rank="0" text="" dxfId="2">
      <formula>0</formula>
    </cfRule>
  </conditionalFormatting>
  <conditionalFormatting sqref="C103:F103">
    <cfRule type="cellIs" priority="8" operator="lessThan" aboveAverage="0" equalAverage="0" bottom="0" percent="0" rank="0" text="" dxfId="2">
      <formula>0</formula>
    </cfRule>
  </conditionalFormatting>
  <conditionalFormatting sqref="H103:K103">
    <cfRule type="cellIs" priority="9" operator="lessThan" aboveAverage="0" equalAverage="0" bottom="0" percent="0" rank="0" text="" dxfId="2">
      <formula>0</formula>
    </cfRule>
  </conditionalFormatting>
  <conditionalFormatting sqref="M103:P103">
    <cfRule type="cellIs" priority="10" operator="lessThan" aboveAverage="0" equalAverage="0" bottom="0" percent="0" rank="0" text="" dxfId="2">
      <formula>0</formula>
    </cfRule>
  </conditionalFormatting>
  <conditionalFormatting sqref="C94:F94">
    <cfRule type="cellIs" priority="11" operator="lessThan" aboveAverage="0" equalAverage="0" bottom="0" percent="0" rank="0" text="" dxfId="2">
      <formula>0</formula>
    </cfRule>
  </conditionalFormatting>
  <conditionalFormatting sqref="H94:K94">
    <cfRule type="cellIs" priority="12" operator="lessThan" aboveAverage="0" equalAverage="0" bottom="0" percent="0" rank="0" text="" dxfId="2">
      <formula>0</formula>
    </cfRule>
  </conditionalFormatting>
  <conditionalFormatting sqref="M94:P94">
    <cfRule type="cellIs" priority="13" operator="lessThan" aboveAverage="0" equalAverage="0" bottom="0" percent="0" rank="0" text="" dxfId="2">
      <formula>0</formula>
    </cfRule>
  </conditionalFormatting>
  <conditionalFormatting sqref="C146:F146">
    <cfRule type="cellIs" priority="14" operator="lessThan" aboveAverage="0" equalAverage="0" bottom="0" percent="0" rank="0" text="" dxfId="2">
      <formula>0</formula>
    </cfRule>
  </conditionalFormatting>
  <conditionalFormatting sqref="H146:K146">
    <cfRule type="cellIs" priority="15" operator="lessThan" aboveAverage="0" equalAverage="0" bottom="0" percent="0" rank="0" text="" dxfId="2">
      <formula>0</formula>
    </cfRule>
  </conditionalFormatting>
  <conditionalFormatting sqref="M146:P146">
    <cfRule type="cellIs" priority="16" operator="lessThan" aboveAverage="0" equalAverage="0" bottom="0" percent="0" rank="0" text="" dxfId="2">
      <formula>0</formula>
    </cfRule>
  </conditionalFormatting>
  <conditionalFormatting sqref="C143:F143">
    <cfRule type="cellIs" priority="17" operator="lessThan" aboveAverage="0" equalAverage="0" bottom="0" percent="0" rank="0" text="" dxfId="2">
      <formula>0</formula>
    </cfRule>
  </conditionalFormatting>
  <conditionalFormatting sqref="H143:K143">
    <cfRule type="cellIs" priority="18" operator="lessThan" aboveAverage="0" equalAverage="0" bottom="0" percent="0" rank="0" text="" dxfId="2">
      <formula>0</formula>
    </cfRule>
  </conditionalFormatting>
  <conditionalFormatting sqref="M143:P143">
    <cfRule type="cellIs" priority="19" operator="lessThan" aboveAverage="0" equalAverage="0" bottom="0" percent="0" rank="0" text="" dxfId="2">
      <formula>0</formula>
    </cfRule>
  </conditionalFormatting>
  <conditionalFormatting sqref="C136:F136">
    <cfRule type="cellIs" priority="20" operator="lessThan" aboveAverage="0" equalAverage="0" bottom="0" percent="0" rank="0" text="" dxfId="2">
      <formula>0</formula>
    </cfRule>
  </conditionalFormatting>
  <conditionalFormatting sqref="H136:K136">
    <cfRule type="cellIs" priority="21" operator="lessThan" aboveAverage="0" equalAverage="0" bottom="0" percent="0" rank="0" text="" dxfId="2">
      <formula>0</formula>
    </cfRule>
  </conditionalFormatting>
  <conditionalFormatting sqref="M136:P136">
    <cfRule type="cellIs" priority="22" operator="less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true"/>
  </sheetPr>
  <dimension ref="A1:P1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8"/>
    <col collapsed="false" customWidth="true" hidden="false" outlineLevel="0" max="6" min="3" style="0" width="14"/>
    <col collapsed="false" customWidth="true" hidden="false" outlineLevel="0" max="7" min="7" style="0" width="3"/>
    <col collapsed="false" customWidth="true" hidden="false" outlineLevel="0" max="11" min="8" style="0" width="14"/>
    <col collapsed="false" customWidth="true" hidden="false" outlineLevel="0" max="12" min="12" style="0" width="3"/>
    <col collapsed="false" customWidth="true" hidden="false" outlineLevel="0" max="16" min="13" style="0" width="14"/>
    <col collapsed="false" customWidth="true" hidden="false" outlineLevel="0" max="17" min="17" style="0" width="3"/>
  </cols>
  <sheetData>
    <row r="1" customFormat="false" ht="17.35" hidden="false" customHeight="false" outlineLevel="0" collapsed="false">
      <c r="A1" s="13" t="s">
        <v>677</v>
      </c>
    </row>
    <row r="2" customFormat="false" ht="15" hidden="false" customHeight="false" outlineLevel="0" collapsed="false">
      <c r="A2" s="14" t="s">
        <v>543</v>
      </c>
    </row>
    <row r="4" customFormat="false" ht="15" hidden="false" customHeight="false" outlineLevel="0" collapsed="false">
      <c r="C4" s="68" t="s">
        <v>544</v>
      </c>
      <c r="D4" s="68"/>
      <c r="E4" s="68"/>
      <c r="F4" s="68"/>
      <c r="H4" s="69" t="s">
        <v>545</v>
      </c>
      <c r="I4" s="69"/>
      <c r="J4" s="69"/>
      <c r="K4" s="69"/>
      <c r="M4" s="70" t="s">
        <v>546</v>
      </c>
      <c r="N4" s="70"/>
      <c r="O4" s="70"/>
      <c r="P4" s="70"/>
    </row>
    <row r="5" customFormat="false" ht="15" hidden="false" customHeight="false" outlineLevel="0" collapsed="false">
      <c r="A5" s="71" t="s">
        <v>547</v>
      </c>
      <c r="B5" s="71" t="s">
        <v>120</v>
      </c>
      <c r="C5" s="72" t="s">
        <v>105</v>
      </c>
      <c r="D5" s="72" t="s">
        <v>101</v>
      </c>
      <c r="E5" s="72" t="s">
        <v>102</v>
      </c>
      <c r="F5" s="72" t="s">
        <v>103</v>
      </c>
      <c r="H5" s="72" t="s">
        <v>105</v>
      </c>
      <c r="I5" s="72" t="s">
        <v>101</v>
      </c>
      <c r="J5" s="72" t="s">
        <v>102</v>
      </c>
      <c r="K5" s="72" t="s">
        <v>103</v>
      </c>
      <c r="M5" s="72" t="s">
        <v>105</v>
      </c>
      <c r="N5" s="72" t="s">
        <v>101</v>
      </c>
      <c r="O5" s="72" t="s">
        <v>102</v>
      </c>
      <c r="P5" s="72" t="s">
        <v>103</v>
      </c>
    </row>
    <row r="8" customFormat="false" ht="15" hidden="false" customHeight="false" outlineLevel="0" collapsed="false">
      <c r="A8" s="4" t="s">
        <v>548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customFormat="false" ht="15" hidden="false" customHeight="false" outlineLevel="0" collapsed="false">
      <c r="A9" s="10" t="s">
        <v>549</v>
      </c>
      <c r="B9" s="36" t="s">
        <v>550</v>
      </c>
      <c r="C9" s="73" t="n">
        <v>2</v>
      </c>
      <c r="H9" s="73" t="n">
        <v>1</v>
      </c>
      <c r="M9" s="73" t="n">
        <v>3</v>
      </c>
    </row>
    <row r="10" customFormat="false" ht="15" hidden="false" customHeight="false" outlineLevel="0" collapsed="false">
      <c r="A10" s="10" t="s">
        <v>551</v>
      </c>
      <c r="B10" s="36"/>
      <c r="C10" s="10" t="str">
        <f aca="false">CHOOSE($C$9,"Downside","Base","Upside")</f>
        <v>Base</v>
      </c>
      <c r="H10" s="10" t="str">
        <f aca="false">CHOOSE($H$9,"Downside","Base","Upside")</f>
        <v>Downside</v>
      </c>
      <c r="M10" s="10" t="str">
        <f aca="false">CHOOSE($M$9,"Downside","Base","Upside")</f>
        <v>Upside</v>
      </c>
    </row>
    <row r="11" customFormat="false" ht="15" hidden="false" customHeight="false" outlineLevel="0" collapsed="false">
      <c r="A11" s="10" t="s">
        <v>678</v>
      </c>
      <c r="B11" s="36" t="s">
        <v>137</v>
      </c>
      <c r="C11" s="74" t="n">
        <f aca="false">INDEX(Assumptions!$C$40:$E$40,$C$9)*(1+Assumptions!$C$95)</f>
        <v>1.2</v>
      </c>
      <c r="H11" s="74" t="n">
        <f aca="false">INDEX(Assumptions!$C$40:$E$40,$H$9)*(1+Assumptions!$C$95)</f>
        <v>0.78</v>
      </c>
      <c r="M11" s="74" t="n">
        <f aca="false">INDEX(Assumptions!$C$40:$E$40,$M$9)*(1+Assumptions!$C$95)</f>
        <v>1.56</v>
      </c>
    </row>
    <row r="12" customFormat="false" ht="15" hidden="false" customHeight="false" outlineLevel="0" collapsed="false">
      <c r="A12" s="10" t="s">
        <v>679</v>
      </c>
      <c r="B12" s="36" t="s">
        <v>137</v>
      </c>
      <c r="C12" s="74" t="n">
        <f aca="false">INDEX(Assumptions!$C$41:$E$41,$C$9)*(1+Assumptions!$C$96)</f>
        <v>1.05</v>
      </c>
      <c r="H12" s="74" t="n">
        <f aca="false">INDEX(Assumptions!$C$41:$E$41,$H$9)*(1+Assumptions!$C$96)</f>
        <v>0.945</v>
      </c>
      <c r="M12" s="74" t="n">
        <f aca="false">INDEX(Assumptions!$C$41:$E$41,$M$9)*(1+Assumptions!$C$96)</f>
        <v>1.134</v>
      </c>
    </row>
    <row r="13" customFormat="false" ht="15" hidden="false" customHeight="false" outlineLevel="0" collapsed="false">
      <c r="A13" s="10" t="s">
        <v>553</v>
      </c>
      <c r="B13" s="36" t="s">
        <v>137</v>
      </c>
      <c r="C13" s="46" t="n">
        <f aca="false">INDEX(Assumptions!$C$42:$E$42,$C$9)</f>
        <v>0</v>
      </c>
      <c r="H13" s="46" t="n">
        <f aca="false">INDEX(Assumptions!$C$42:$E$42,$H$9)</f>
        <v>0.03</v>
      </c>
      <c r="M13" s="46" t="n">
        <f aca="false">INDEX(Assumptions!$C$42:$E$42,$M$9)</f>
        <v>-0.015</v>
      </c>
    </row>
    <row r="14" customFormat="false" ht="15" hidden="false" customHeight="false" outlineLevel="0" collapsed="false">
      <c r="A14" s="10" t="s">
        <v>680</v>
      </c>
      <c r="B14" s="36" t="s">
        <v>137</v>
      </c>
      <c r="C14" s="74" t="n">
        <f aca="false">INDEX(Assumptions!$C$43:$E$43,$C$9)*(1+Assumptions!$C$97)</f>
        <v>0.9</v>
      </c>
      <c r="H14" s="74" t="n">
        <f aca="false">INDEX(Assumptions!$C$43:$E$43,$H$9)*(1+Assumptions!$C$97)</f>
        <v>0.945</v>
      </c>
      <c r="M14" s="74" t="n">
        <f aca="false">INDEX(Assumptions!$C$43:$E$43,$M$9)*(1+Assumptions!$C$97)</f>
        <v>0.9</v>
      </c>
    </row>
    <row r="16" customFormat="false" ht="15" hidden="false" customHeight="false" outlineLevel="0" collapsed="false">
      <c r="A16" s="4" t="s">
        <v>554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customFormat="false" ht="15" hidden="false" customHeight="false" outlineLevel="0" collapsed="false">
      <c r="A17" s="10" t="s">
        <v>555</v>
      </c>
      <c r="B17" s="36" t="s">
        <v>292</v>
      </c>
      <c r="D17" s="59" t="n">
        <f aca="false">Assumptions!$C$115</f>
        <v>4</v>
      </c>
      <c r="E17" s="59" t="n">
        <f aca="false">Assumptions!$D$115</f>
        <v>9</v>
      </c>
      <c r="F17" s="59" t="n">
        <f aca="false">Assumptions!$E$115</f>
        <v>14</v>
      </c>
      <c r="I17" s="59" t="n">
        <f aca="false">Assumptions!$C$115</f>
        <v>4</v>
      </c>
      <c r="J17" s="59" t="n">
        <f aca="false">Assumptions!$D$115</f>
        <v>9</v>
      </c>
      <c r="K17" s="59" t="n">
        <f aca="false">Assumptions!$E$115</f>
        <v>14</v>
      </c>
      <c r="N17" s="59" t="n">
        <f aca="false">Assumptions!$C$115</f>
        <v>4</v>
      </c>
      <c r="O17" s="59" t="n">
        <f aca="false">Assumptions!$D$115</f>
        <v>9</v>
      </c>
      <c r="P17" s="59" t="n">
        <f aca="false">Assumptions!$E$115</f>
        <v>14</v>
      </c>
    </row>
    <row r="18" customFormat="false" ht="15" hidden="false" customHeight="false" outlineLevel="0" collapsed="false">
      <c r="A18" s="10" t="s">
        <v>556</v>
      </c>
      <c r="B18" s="36" t="s">
        <v>550</v>
      </c>
      <c r="D18" s="49" t="n">
        <f aca="false">D17*Assumptions!$D$63*$C$11</f>
        <v>7.68</v>
      </c>
      <c r="E18" s="49" t="n">
        <f aca="false">E17*Assumptions!$D$63*$C$11</f>
        <v>17.28</v>
      </c>
      <c r="F18" s="49" t="n">
        <f aca="false">F17*Assumptions!$D$63*$C$11</f>
        <v>26.88</v>
      </c>
      <c r="I18" s="49" t="n">
        <f aca="false">I17*Assumptions!$D$63*$H$11</f>
        <v>4.992</v>
      </c>
      <c r="J18" s="49" t="n">
        <f aca="false">J17*Assumptions!$D$63*$H$11</f>
        <v>11.232</v>
      </c>
      <c r="K18" s="49" t="n">
        <f aca="false">K17*Assumptions!$D$63*$H$11</f>
        <v>17.472</v>
      </c>
      <c r="N18" s="49" t="n">
        <f aca="false">N17*Assumptions!$D$63*$M$11</f>
        <v>9.984</v>
      </c>
      <c r="O18" s="49" t="n">
        <f aca="false">O17*Assumptions!$D$63*$M$11</f>
        <v>22.464</v>
      </c>
      <c r="P18" s="49" t="n">
        <f aca="false">P17*Assumptions!$D$63*$M$11</f>
        <v>34.944</v>
      </c>
    </row>
    <row r="19" customFormat="false" ht="15" hidden="false" customHeight="false" outlineLevel="0" collapsed="false">
      <c r="A19" s="10" t="s">
        <v>557</v>
      </c>
      <c r="B19" s="36" t="s">
        <v>550</v>
      </c>
      <c r="D19" s="49" t="n">
        <f aca="false">C21</f>
        <v>0</v>
      </c>
      <c r="E19" s="49" t="n">
        <f aca="false">D21</f>
        <v>7.68</v>
      </c>
      <c r="F19" s="49" t="n">
        <f aca="false">E21</f>
        <v>24.4992</v>
      </c>
      <c r="I19" s="49" t="n">
        <f aca="false">H21</f>
        <v>0</v>
      </c>
      <c r="J19" s="49" t="n">
        <f aca="false">I21</f>
        <v>4.992</v>
      </c>
      <c r="K19" s="49" t="n">
        <f aca="false">J21</f>
        <v>15.77472</v>
      </c>
      <c r="N19" s="49" t="n">
        <f aca="false">M21</f>
        <v>0</v>
      </c>
      <c r="O19" s="49" t="n">
        <f aca="false">N21</f>
        <v>9.984</v>
      </c>
      <c r="P19" s="49" t="n">
        <f aca="false">O21</f>
        <v>31.99872</v>
      </c>
    </row>
    <row r="20" customFormat="false" ht="15" hidden="false" customHeight="false" outlineLevel="0" collapsed="false">
      <c r="A20" s="10" t="s">
        <v>558</v>
      </c>
      <c r="B20" s="36" t="s">
        <v>550</v>
      </c>
      <c r="D20" s="49" t="n">
        <f aca="false">D19*MAX(0,Assumptions!$D$66+$C$13)</f>
        <v>0</v>
      </c>
      <c r="E20" s="49" t="n">
        <f aca="false">E19*MAX(0,Assumptions!$D$66+$C$13)</f>
        <v>0.4608</v>
      </c>
      <c r="F20" s="49" t="n">
        <f aca="false">F19*MAX(0,Assumptions!$D$66+$C$13)</f>
        <v>1.469952</v>
      </c>
      <c r="I20" s="49" t="n">
        <f aca="false">I19*MAX(0,Assumptions!$D$66+$H$13)</f>
        <v>0</v>
      </c>
      <c r="J20" s="49" t="n">
        <f aca="false">J19*MAX(0,Assumptions!$D$66+$H$13)</f>
        <v>0.44928</v>
      </c>
      <c r="K20" s="49" t="n">
        <f aca="false">K19*MAX(0,Assumptions!$D$66+$H$13)</f>
        <v>1.4197248</v>
      </c>
      <c r="N20" s="49" t="n">
        <f aca="false">N19*MAX(0,Assumptions!$D$66+$M$13)</f>
        <v>0</v>
      </c>
      <c r="O20" s="49" t="n">
        <f aca="false">O19*MAX(0,Assumptions!$D$66+$M$13)</f>
        <v>0.44928</v>
      </c>
      <c r="P20" s="49" t="n">
        <f aca="false">P19*MAX(0,Assumptions!$D$66+$M$13)</f>
        <v>1.4399424</v>
      </c>
    </row>
    <row r="21" customFormat="false" ht="15" hidden="false" customHeight="false" outlineLevel="0" collapsed="false">
      <c r="A21" s="7" t="s">
        <v>559</v>
      </c>
      <c r="B21" s="36" t="s">
        <v>550</v>
      </c>
      <c r="C21" s="75" t="n">
        <v>0</v>
      </c>
      <c r="D21" s="75" t="n">
        <f aca="false">D19+D18-D20</f>
        <v>7.68</v>
      </c>
      <c r="E21" s="75" t="n">
        <f aca="false">E19+E18-E20</f>
        <v>24.4992</v>
      </c>
      <c r="F21" s="75" t="n">
        <f aca="false">F19+F18-F20</f>
        <v>49.909248</v>
      </c>
      <c r="H21" s="75" t="n">
        <v>0</v>
      </c>
      <c r="I21" s="75" t="n">
        <f aca="false">I19+I18-I20</f>
        <v>4.992</v>
      </c>
      <c r="J21" s="75" t="n">
        <f aca="false">J19+J18-J20</f>
        <v>15.77472</v>
      </c>
      <c r="K21" s="75" t="n">
        <f aca="false">K19+K18-K20</f>
        <v>31.8269952</v>
      </c>
      <c r="M21" s="75" t="n">
        <v>0</v>
      </c>
      <c r="N21" s="75" t="n">
        <f aca="false">N19+N18-N20</f>
        <v>9.984</v>
      </c>
      <c r="O21" s="75" t="n">
        <f aca="false">O19+O18-O20</f>
        <v>31.99872</v>
      </c>
      <c r="P21" s="75" t="n">
        <f aca="false">P19+P18-P20</f>
        <v>65.5027776</v>
      </c>
    </row>
    <row r="22" customFormat="false" ht="15" hidden="false" customHeight="false" outlineLevel="0" collapsed="false">
      <c r="A22" s="10" t="s">
        <v>560</v>
      </c>
      <c r="B22" s="36" t="s">
        <v>550</v>
      </c>
      <c r="D22" s="49" t="n">
        <f aca="false">(D19+D21)/2</f>
        <v>3.84</v>
      </c>
      <c r="E22" s="49" t="n">
        <f aca="false">(E19+E21)/2</f>
        <v>16.0896</v>
      </c>
      <c r="F22" s="49" t="n">
        <f aca="false">(F19+F21)/2</f>
        <v>37.204224</v>
      </c>
      <c r="I22" s="49" t="n">
        <f aca="false">(I19+I21)/2</f>
        <v>2.496</v>
      </c>
      <c r="J22" s="49" t="n">
        <f aca="false">(J19+J21)/2</f>
        <v>10.38336</v>
      </c>
      <c r="K22" s="49" t="n">
        <f aca="false">(K19+K21)/2</f>
        <v>23.8008576</v>
      </c>
      <c r="N22" s="49" t="n">
        <f aca="false">(N19+N21)/2</f>
        <v>4.992</v>
      </c>
      <c r="O22" s="49" t="n">
        <f aca="false">(O19+O21)/2</f>
        <v>20.99136</v>
      </c>
      <c r="P22" s="49" t="n">
        <f aca="false">(P19+P21)/2</f>
        <v>48.7507488</v>
      </c>
    </row>
    <row r="23" customFormat="false" ht="15" hidden="false" customHeight="false" outlineLevel="0" collapsed="false">
      <c r="A23" s="10" t="s">
        <v>561</v>
      </c>
      <c r="B23" s="36" t="s">
        <v>550</v>
      </c>
      <c r="D23" s="49" t="n">
        <f aca="false">D17*Assumptions!$D$64*$C$11</f>
        <v>19.2</v>
      </c>
      <c r="E23" s="49" t="n">
        <f aca="false">E17*Assumptions!$D$64*$C$11</f>
        <v>43.2</v>
      </c>
      <c r="F23" s="49" t="n">
        <f aca="false">F17*Assumptions!$D$64*$C$11</f>
        <v>67.2</v>
      </c>
      <c r="I23" s="49" t="n">
        <f aca="false">I17*Assumptions!$D$64*$H$11</f>
        <v>12.48</v>
      </c>
      <c r="J23" s="49" t="n">
        <f aca="false">J17*Assumptions!$D$64*$H$11</f>
        <v>28.08</v>
      </c>
      <c r="K23" s="49" t="n">
        <f aca="false">K17*Assumptions!$D$64*$H$11</f>
        <v>43.68</v>
      </c>
      <c r="N23" s="49" t="n">
        <f aca="false">N17*Assumptions!$D$64*$M$11</f>
        <v>24.96</v>
      </c>
      <c r="O23" s="49" t="n">
        <f aca="false">O17*Assumptions!$D$64*$M$11</f>
        <v>56.16</v>
      </c>
      <c r="P23" s="49" t="n">
        <f aca="false">P17*Assumptions!$D$64*$M$11</f>
        <v>87.36</v>
      </c>
    </row>
    <row r="24" customFormat="false" ht="15" hidden="false" customHeight="false" outlineLevel="0" collapsed="false">
      <c r="A24" s="10" t="s">
        <v>562</v>
      </c>
      <c r="B24" s="36" t="s">
        <v>550</v>
      </c>
      <c r="D24" s="49" t="n">
        <f aca="false">C26</f>
        <v>0</v>
      </c>
      <c r="E24" s="49" t="n">
        <f aca="false">D26</f>
        <v>19.2</v>
      </c>
      <c r="F24" s="49" t="n">
        <f aca="false">E26</f>
        <v>60.672</v>
      </c>
      <c r="I24" s="49" t="n">
        <f aca="false">H26</f>
        <v>0</v>
      </c>
      <c r="J24" s="49" t="n">
        <f aca="false">I26</f>
        <v>12.48</v>
      </c>
      <c r="K24" s="49" t="n">
        <f aca="false">J26</f>
        <v>39.0624</v>
      </c>
      <c r="N24" s="49" t="n">
        <f aca="false">M26</f>
        <v>0</v>
      </c>
      <c r="O24" s="49" t="n">
        <f aca="false">N26</f>
        <v>24.96</v>
      </c>
      <c r="P24" s="49" t="n">
        <f aca="false">O26</f>
        <v>79.248</v>
      </c>
    </row>
    <row r="25" customFormat="false" ht="15" hidden="false" customHeight="false" outlineLevel="0" collapsed="false">
      <c r="A25" s="10" t="s">
        <v>563</v>
      </c>
      <c r="B25" s="36" t="s">
        <v>550</v>
      </c>
      <c r="D25" s="49" t="n">
        <f aca="false">D24*MAX(0,Assumptions!$D$67+$C$13)</f>
        <v>0</v>
      </c>
      <c r="E25" s="49" t="n">
        <f aca="false">E24*MAX(0,Assumptions!$D$67+$C$13)</f>
        <v>1.728</v>
      </c>
      <c r="F25" s="49" t="n">
        <f aca="false">F24*MAX(0,Assumptions!$D$67+$C$13)</f>
        <v>5.46048</v>
      </c>
      <c r="I25" s="49" t="n">
        <f aca="false">I24*MAX(0,Assumptions!$D$67+$H$13)</f>
        <v>0</v>
      </c>
      <c r="J25" s="49" t="n">
        <f aca="false">J24*MAX(0,Assumptions!$D$67+$H$13)</f>
        <v>1.4976</v>
      </c>
      <c r="K25" s="49" t="n">
        <f aca="false">K24*MAX(0,Assumptions!$D$67+$H$13)</f>
        <v>4.687488</v>
      </c>
      <c r="N25" s="49" t="n">
        <f aca="false">N24*MAX(0,Assumptions!$D$67+$M$13)</f>
        <v>0</v>
      </c>
      <c r="O25" s="49" t="n">
        <f aca="false">O24*MAX(0,Assumptions!$D$67+$M$13)</f>
        <v>1.872</v>
      </c>
      <c r="P25" s="49" t="n">
        <f aca="false">P24*MAX(0,Assumptions!$D$67+$M$13)</f>
        <v>5.9436</v>
      </c>
    </row>
    <row r="26" customFormat="false" ht="15" hidden="false" customHeight="false" outlineLevel="0" collapsed="false">
      <c r="A26" s="7" t="s">
        <v>564</v>
      </c>
      <c r="B26" s="36" t="s">
        <v>550</v>
      </c>
      <c r="C26" s="75" t="n">
        <v>0</v>
      </c>
      <c r="D26" s="75" t="n">
        <f aca="false">D24+D23-D25</f>
        <v>19.2</v>
      </c>
      <c r="E26" s="75" t="n">
        <f aca="false">E24+E23-E25</f>
        <v>60.672</v>
      </c>
      <c r="F26" s="75" t="n">
        <f aca="false">F24+F23-F25</f>
        <v>122.41152</v>
      </c>
      <c r="H26" s="75" t="n">
        <v>0</v>
      </c>
      <c r="I26" s="75" t="n">
        <f aca="false">I24+I23-I25</f>
        <v>12.48</v>
      </c>
      <c r="J26" s="75" t="n">
        <f aca="false">J24+J23-J25</f>
        <v>39.0624</v>
      </c>
      <c r="K26" s="75" t="n">
        <f aca="false">K24+K23-K25</f>
        <v>78.054912</v>
      </c>
      <c r="M26" s="75" t="n">
        <v>0</v>
      </c>
      <c r="N26" s="75" t="n">
        <f aca="false">N24+N23-N25</f>
        <v>24.96</v>
      </c>
      <c r="O26" s="75" t="n">
        <f aca="false">O24+O23-O25</f>
        <v>79.248</v>
      </c>
      <c r="P26" s="75" t="n">
        <f aca="false">P24+P23-P25</f>
        <v>160.6644</v>
      </c>
    </row>
    <row r="27" customFormat="false" ht="15" hidden="false" customHeight="false" outlineLevel="0" collapsed="false">
      <c r="A27" s="10" t="s">
        <v>565</v>
      </c>
      <c r="B27" s="36" t="s">
        <v>550</v>
      </c>
      <c r="D27" s="49" t="n">
        <f aca="false">(D24+D26)/2</f>
        <v>9.6</v>
      </c>
      <c r="E27" s="49" t="n">
        <f aca="false">(E24+E26)/2</f>
        <v>39.936</v>
      </c>
      <c r="F27" s="49" t="n">
        <f aca="false">(F24+F26)/2</f>
        <v>91.54176</v>
      </c>
      <c r="I27" s="49" t="n">
        <f aca="false">(I24+I26)/2</f>
        <v>6.24</v>
      </c>
      <c r="J27" s="49" t="n">
        <f aca="false">(J24+J26)/2</f>
        <v>25.7712</v>
      </c>
      <c r="K27" s="49" t="n">
        <f aca="false">(K24+K26)/2</f>
        <v>58.558656</v>
      </c>
      <c r="N27" s="49" t="n">
        <f aca="false">(N24+N26)/2</f>
        <v>12.48</v>
      </c>
      <c r="O27" s="49" t="n">
        <f aca="false">(O24+O26)/2</f>
        <v>52.104</v>
      </c>
      <c r="P27" s="49" t="n">
        <f aca="false">(P24+P26)/2</f>
        <v>119.9562</v>
      </c>
    </row>
    <row r="28" customFormat="false" ht="15" hidden="false" customHeight="false" outlineLevel="0" collapsed="false">
      <c r="A28" s="10" t="s">
        <v>566</v>
      </c>
      <c r="B28" s="36" t="s">
        <v>550</v>
      </c>
      <c r="D28" s="49" t="n">
        <f aca="false">D17*Assumptions!$D$65*$C$11</f>
        <v>28.8</v>
      </c>
      <c r="E28" s="49" t="n">
        <f aca="false">E17*Assumptions!$D$65*$C$11</f>
        <v>64.8</v>
      </c>
      <c r="F28" s="49" t="n">
        <f aca="false">F17*Assumptions!$D$65*$C$11</f>
        <v>100.8</v>
      </c>
      <c r="I28" s="49" t="n">
        <f aca="false">I17*Assumptions!$D$65*$H$11</f>
        <v>18.72</v>
      </c>
      <c r="J28" s="49" t="n">
        <f aca="false">J17*Assumptions!$D$65*$H$11</f>
        <v>42.12</v>
      </c>
      <c r="K28" s="49" t="n">
        <f aca="false">K17*Assumptions!$D$65*$H$11</f>
        <v>65.52</v>
      </c>
      <c r="N28" s="49" t="n">
        <f aca="false">N17*Assumptions!$D$65*$M$11</f>
        <v>37.44</v>
      </c>
      <c r="O28" s="49" t="n">
        <f aca="false">O17*Assumptions!$D$65*$M$11</f>
        <v>84.24</v>
      </c>
      <c r="P28" s="49" t="n">
        <f aca="false">P17*Assumptions!$D$65*$M$11</f>
        <v>131.04</v>
      </c>
    </row>
    <row r="29" customFormat="false" ht="15" hidden="false" customHeight="false" outlineLevel="0" collapsed="false">
      <c r="A29" s="10" t="s">
        <v>567</v>
      </c>
      <c r="B29" s="36" t="s">
        <v>550</v>
      </c>
      <c r="D29" s="49" t="n">
        <f aca="false">C31</f>
        <v>0</v>
      </c>
      <c r="E29" s="49" t="n">
        <f aca="false">D31</f>
        <v>28.8</v>
      </c>
      <c r="F29" s="49" t="n">
        <f aca="false">E31</f>
        <v>89.28</v>
      </c>
      <c r="I29" s="49" t="n">
        <f aca="false">H31</f>
        <v>0</v>
      </c>
      <c r="J29" s="49" t="n">
        <f aca="false">I31</f>
        <v>18.72</v>
      </c>
      <c r="K29" s="49" t="n">
        <f aca="false">J31</f>
        <v>57.4704</v>
      </c>
      <c r="N29" s="49" t="n">
        <f aca="false">M31</f>
        <v>0</v>
      </c>
      <c r="O29" s="49" t="n">
        <f aca="false">N31</f>
        <v>37.44</v>
      </c>
      <c r="P29" s="49" t="n">
        <f aca="false">O31</f>
        <v>116.6256</v>
      </c>
    </row>
    <row r="30" customFormat="false" ht="15" hidden="false" customHeight="false" outlineLevel="0" collapsed="false">
      <c r="A30" s="10" t="s">
        <v>568</v>
      </c>
      <c r="B30" s="36" t="s">
        <v>550</v>
      </c>
      <c r="D30" s="49" t="n">
        <f aca="false">D29*MAX(0,Assumptions!$D$68+$C$13)</f>
        <v>0</v>
      </c>
      <c r="E30" s="49" t="n">
        <f aca="false">E29*MAX(0,Assumptions!$D$68+$C$13)</f>
        <v>4.32</v>
      </c>
      <c r="F30" s="49" t="n">
        <f aca="false">F29*MAX(0,Assumptions!$D$68+$C$13)</f>
        <v>13.392</v>
      </c>
      <c r="I30" s="49" t="n">
        <f aca="false">I29*MAX(0,Assumptions!$D$68+$H$13)</f>
        <v>0</v>
      </c>
      <c r="J30" s="49" t="n">
        <f aca="false">J29*MAX(0,Assumptions!$D$68+$H$13)</f>
        <v>3.3696</v>
      </c>
      <c r="K30" s="49" t="n">
        <f aca="false">K29*MAX(0,Assumptions!$D$68+$H$13)</f>
        <v>10.344672</v>
      </c>
      <c r="N30" s="49" t="n">
        <f aca="false">N29*MAX(0,Assumptions!$D$68+$M$13)</f>
        <v>0</v>
      </c>
      <c r="O30" s="49" t="n">
        <f aca="false">O29*MAX(0,Assumptions!$D$68+$M$13)</f>
        <v>5.0544</v>
      </c>
      <c r="P30" s="49" t="n">
        <f aca="false">P29*MAX(0,Assumptions!$D$68+$M$13)</f>
        <v>15.744456</v>
      </c>
    </row>
    <row r="31" customFormat="false" ht="15" hidden="false" customHeight="false" outlineLevel="0" collapsed="false">
      <c r="A31" s="7" t="s">
        <v>569</v>
      </c>
      <c r="B31" s="36" t="s">
        <v>550</v>
      </c>
      <c r="C31" s="75" t="n">
        <v>0</v>
      </c>
      <c r="D31" s="75" t="n">
        <f aca="false">D29+D28-D30</f>
        <v>28.8</v>
      </c>
      <c r="E31" s="75" t="n">
        <f aca="false">E29+E28-E30</f>
        <v>89.28</v>
      </c>
      <c r="F31" s="75" t="n">
        <f aca="false">F29+F28-F30</f>
        <v>176.688</v>
      </c>
      <c r="H31" s="75" t="n">
        <v>0</v>
      </c>
      <c r="I31" s="75" t="n">
        <f aca="false">I29+I28-I30</f>
        <v>18.72</v>
      </c>
      <c r="J31" s="75" t="n">
        <f aca="false">J29+J28-J30</f>
        <v>57.4704</v>
      </c>
      <c r="K31" s="75" t="n">
        <f aca="false">K29+K28-K30</f>
        <v>112.645728</v>
      </c>
      <c r="M31" s="75" t="n">
        <v>0</v>
      </c>
      <c r="N31" s="75" t="n">
        <f aca="false">N29+N28-N30</f>
        <v>37.44</v>
      </c>
      <c r="O31" s="75" t="n">
        <f aca="false">O29+O28-O30</f>
        <v>116.6256</v>
      </c>
      <c r="P31" s="75" t="n">
        <f aca="false">P29+P28-P30</f>
        <v>231.921144</v>
      </c>
    </row>
    <row r="32" customFormat="false" ht="15" hidden="false" customHeight="false" outlineLevel="0" collapsed="false">
      <c r="A32" s="10" t="s">
        <v>570</v>
      </c>
      <c r="B32" s="36" t="s">
        <v>550</v>
      </c>
      <c r="D32" s="49" t="n">
        <f aca="false">(D29+D31)/2</f>
        <v>14.4</v>
      </c>
      <c r="E32" s="49" t="n">
        <f aca="false">(E29+E31)/2</f>
        <v>59.04</v>
      </c>
      <c r="F32" s="49" t="n">
        <f aca="false">(F29+F31)/2</f>
        <v>132.984</v>
      </c>
      <c r="I32" s="49" t="n">
        <f aca="false">(I29+I31)/2</f>
        <v>9.36</v>
      </c>
      <c r="J32" s="49" t="n">
        <f aca="false">(J29+J31)/2</f>
        <v>38.0952</v>
      </c>
      <c r="K32" s="49" t="n">
        <f aca="false">(K29+K31)/2</f>
        <v>85.058064</v>
      </c>
      <c r="N32" s="49" t="n">
        <f aca="false">(N29+N31)/2</f>
        <v>18.72</v>
      </c>
      <c r="O32" s="49" t="n">
        <f aca="false">(O29+O31)/2</f>
        <v>77.0328</v>
      </c>
      <c r="P32" s="49" t="n">
        <f aca="false">(P29+P31)/2</f>
        <v>174.273372</v>
      </c>
    </row>
    <row r="33" customFormat="false" ht="15" hidden="false" customHeight="false" outlineLevel="0" collapsed="false">
      <c r="A33" s="10" t="s">
        <v>571</v>
      </c>
      <c r="B33" s="36" t="s">
        <v>550</v>
      </c>
      <c r="D33" s="49" t="n">
        <f aca="false">D18+D23+D28</f>
        <v>55.68</v>
      </c>
      <c r="E33" s="49" t="n">
        <f aca="false">E18+E23+E28</f>
        <v>125.28</v>
      </c>
      <c r="F33" s="49" t="n">
        <f aca="false">F18+F23+F28</f>
        <v>194.88</v>
      </c>
      <c r="I33" s="49" t="n">
        <f aca="false">I18+I23+I28</f>
        <v>36.192</v>
      </c>
      <c r="J33" s="49" t="n">
        <f aca="false">J18+J23+J28</f>
        <v>81.432</v>
      </c>
      <c r="K33" s="49" t="n">
        <f aca="false">K18+K23+K28</f>
        <v>126.672</v>
      </c>
      <c r="N33" s="49" t="n">
        <f aca="false">N18+N23+N28</f>
        <v>72.384</v>
      </c>
      <c r="O33" s="49" t="n">
        <f aca="false">O18+O23+O28</f>
        <v>162.864</v>
      </c>
      <c r="P33" s="49" t="n">
        <f aca="false">P18+P23+P28</f>
        <v>253.344</v>
      </c>
    </row>
    <row r="34" customFormat="false" ht="15" hidden="false" customHeight="false" outlineLevel="0" collapsed="false">
      <c r="A34" s="76" t="s">
        <v>572</v>
      </c>
      <c r="B34" s="77" t="s">
        <v>550</v>
      </c>
      <c r="C34" s="78" t="n">
        <f aca="false">C21+C26+C31</f>
        <v>0</v>
      </c>
      <c r="D34" s="78" t="n">
        <f aca="false">D21+D26+D31</f>
        <v>55.68</v>
      </c>
      <c r="E34" s="78" t="n">
        <f aca="false">E21+E26+E31</f>
        <v>174.4512</v>
      </c>
      <c r="F34" s="78" t="n">
        <f aca="false">F21+F26+F31</f>
        <v>349.008768</v>
      </c>
      <c r="H34" s="78" t="n">
        <f aca="false">H21+H26+H31</f>
        <v>0</v>
      </c>
      <c r="I34" s="78" t="n">
        <f aca="false">I21+I26+I31</f>
        <v>36.192</v>
      </c>
      <c r="J34" s="78" t="n">
        <f aca="false">J21+J26+J31</f>
        <v>112.30752</v>
      </c>
      <c r="K34" s="78" t="n">
        <f aca="false">K21+K26+K31</f>
        <v>222.5276352</v>
      </c>
      <c r="M34" s="78" t="n">
        <f aca="false">M21+M26+M31</f>
        <v>0</v>
      </c>
      <c r="N34" s="78" t="n">
        <f aca="false">N21+N26+N31</f>
        <v>72.384</v>
      </c>
      <c r="O34" s="78" t="n">
        <f aca="false">O21+O26+O31</f>
        <v>227.87232</v>
      </c>
      <c r="P34" s="78" t="n">
        <f aca="false">P21+P26+P31</f>
        <v>458.0883216</v>
      </c>
    </row>
    <row r="36" customFormat="false" ht="15" hidden="false" customHeight="false" outlineLevel="0" collapsed="false">
      <c r="A36" s="4" t="s">
        <v>573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customFormat="false" ht="15" hidden="false" customHeight="false" outlineLevel="0" collapsed="false">
      <c r="A37" s="10" t="s">
        <v>574</v>
      </c>
      <c r="B37" s="36" t="s">
        <v>137</v>
      </c>
      <c r="D37" s="54" t="n">
        <f aca="false">(1+Assumptions!$C$22)^0*(1+Assumptions!$C$23)^0*$C$12</f>
        <v>1.05</v>
      </c>
      <c r="E37" s="54" t="n">
        <f aca="false">(1+Assumptions!$C$22)^1*(1+Assumptions!$C$23)^1*$C$12</f>
        <v>1.113945</v>
      </c>
      <c r="F37" s="54" t="n">
        <f aca="false">(1+Assumptions!$C$22)^2*(1+Assumptions!$C$23)^2*$C$12</f>
        <v>1.1817842505</v>
      </c>
      <c r="I37" s="54" t="n">
        <f aca="false">(1+Assumptions!$C$22)^0*(1+Assumptions!$C$23)^0*$H$12</f>
        <v>0.945</v>
      </c>
      <c r="J37" s="54" t="n">
        <f aca="false">(1+Assumptions!$C$22)^1*(1+Assumptions!$C$23)^1*$H$12</f>
        <v>1.0025505</v>
      </c>
      <c r="K37" s="54" t="n">
        <f aca="false">(1+Assumptions!$C$22)^2*(1+Assumptions!$C$23)^2*$H$12</f>
        <v>1.06360582545</v>
      </c>
      <c r="N37" s="54" t="n">
        <f aca="false">(1+Assumptions!$C$22)^0*(1+Assumptions!$C$23)^0*$M$12</f>
        <v>1.134</v>
      </c>
      <c r="O37" s="54" t="n">
        <f aca="false">(1+Assumptions!$C$22)^1*(1+Assumptions!$C$23)^1*$M$12</f>
        <v>1.2030606</v>
      </c>
      <c r="P37" s="54" t="n">
        <f aca="false">(1+Assumptions!$C$22)^2*(1+Assumptions!$C$23)^2*$M$12</f>
        <v>1.27632699054</v>
      </c>
    </row>
    <row r="38" customFormat="false" ht="15" hidden="false" customHeight="false" outlineLevel="0" collapsed="false">
      <c r="A38" s="10" t="s">
        <v>575</v>
      </c>
      <c r="B38" s="36" t="s">
        <v>169</v>
      </c>
      <c r="D38" s="53" t="n">
        <f aca="false">Assumptions!$C$51*D37</f>
        <v>68250</v>
      </c>
      <c r="E38" s="53" t="n">
        <f aca="false">Assumptions!$C$51*E37</f>
        <v>72406.425</v>
      </c>
      <c r="F38" s="53" t="n">
        <f aca="false">Assumptions!$C$51*F37</f>
        <v>76815.9762825</v>
      </c>
      <c r="I38" s="53" t="n">
        <f aca="false">Assumptions!$C$51*I37</f>
        <v>61425</v>
      </c>
      <c r="J38" s="53" t="n">
        <f aca="false">Assumptions!$C$51*J37</f>
        <v>65165.7825</v>
      </c>
      <c r="K38" s="53" t="n">
        <f aca="false">Assumptions!$C$51*K37</f>
        <v>69134.37865425</v>
      </c>
      <c r="N38" s="53" t="n">
        <f aca="false">Assumptions!$C$51*N37</f>
        <v>73710</v>
      </c>
      <c r="O38" s="53" t="n">
        <f aca="false">Assumptions!$C$51*O37</f>
        <v>78198.939</v>
      </c>
      <c r="P38" s="53" t="n">
        <f aca="false">Assumptions!$C$51*P37</f>
        <v>82961.2543851</v>
      </c>
    </row>
    <row r="39" customFormat="false" ht="15" hidden="false" customHeight="false" outlineLevel="0" collapsed="false">
      <c r="A39" s="10" t="s">
        <v>576</v>
      </c>
      <c r="B39" s="36" t="s">
        <v>169</v>
      </c>
      <c r="D39" s="53" t="n">
        <f aca="false">Assumptions!$D$51*D37</f>
        <v>23100</v>
      </c>
      <c r="E39" s="53" t="n">
        <f aca="false">Assumptions!$D$51*E37</f>
        <v>24506.79</v>
      </c>
      <c r="F39" s="53" t="n">
        <f aca="false">Assumptions!$D$51*F37</f>
        <v>25999.253511</v>
      </c>
      <c r="I39" s="53" t="n">
        <f aca="false">Assumptions!$D$51*I37</f>
        <v>20790</v>
      </c>
      <c r="J39" s="53" t="n">
        <f aca="false">Assumptions!$D$51*J37</f>
        <v>22056.111</v>
      </c>
      <c r="K39" s="53" t="n">
        <f aca="false">Assumptions!$D$51*K37</f>
        <v>23399.3281599</v>
      </c>
      <c r="N39" s="53" t="n">
        <f aca="false">Assumptions!$D$51*N37</f>
        <v>24948</v>
      </c>
      <c r="O39" s="53" t="n">
        <f aca="false">Assumptions!$D$51*O37</f>
        <v>26467.3332</v>
      </c>
      <c r="P39" s="53" t="n">
        <f aca="false">Assumptions!$D$51*P37</f>
        <v>28079.19379188</v>
      </c>
    </row>
    <row r="40" customFormat="false" ht="15" hidden="false" customHeight="false" outlineLevel="0" collapsed="false">
      <c r="A40" s="10" t="s">
        <v>577</v>
      </c>
      <c r="B40" s="36" t="s">
        <v>169</v>
      </c>
      <c r="D40" s="53" t="n">
        <f aca="false">Assumptions!$E$51*D37</f>
        <v>5040</v>
      </c>
      <c r="E40" s="53" t="n">
        <f aca="false">Assumptions!$E$51*E37</f>
        <v>5346.936</v>
      </c>
      <c r="F40" s="53" t="n">
        <f aca="false">Assumptions!$E$51*F37</f>
        <v>5672.5644024</v>
      </c>
      <c r="I40" s="53" t="n">
        <f aca="false">Assumptions!$E$51*I37</f>
        <v>4536</v>
      </c>
      <c r="J40" s="53" t="n">
        <f aca="false">Assumptions!$E$51*J37</f>
        <v>4812.2424</v>
      </c>
      <c r="K40" s="53" t="n">
        <f aca="false">Assumptions!$E$51*K37</f>
        <v>5105.30796216</v>
      </c>
      <c r="N40" s="53" t="n">
        <f aca="false">Assumptions!$E$51*N37</f>
        <v>5443.2</v>
      </c>
      <c r="O40" s="53" t="n">
        <f aca="false">Assumptions!$E$51*O37</f>
        <v>5774.69088</v>
      </c>
      <c r="P40" s="53" t="n">
        <f aca="false">Assumptions!$E$51*P37</f>
        <v>6126.369554592</v>
      </c>
    </row>
    <row r="41" customFormat="false" ht="15" hidden="false" customHeight="false" outlineLevel="0" collapsed="false">
      <c r="A41" s="10" t="s">
        <v>578</v>
      </c>
      <c r="B41" s="36" t="s">
        <v>169</v>
      </c>
      <c r="D41" s="53" t="n">
        <f aca="false">D22*D38</f>
        <v>262080</v>
      </c>
      <c r="E41" s="53" t="n">
        <f aca="false">E22*E38</f>
        <v>1164990.41568</v>
      </c>
      <c r="F41" s="53" t="n">
        <f aca="false">F22*F38</f>
        <v>2857878.78839282</v>
      </c>
      <c r="I41" s="53" t="n">
        <f aca="false">I22*I38</f>
        <v>153316.8</v>
      </c>
      <c r="J41" s="53" t="n">
        <f aca="false">J22*J38</f>
        <v>676639.7793792</v>
      </c>
      <c r="K41" s="53" t="n">
        <f aca="false">K22*K38</f>
        <v>1645457.50161428</v>
      </c>
      <c r="N41" s="53" t="n">
        <f aca="false">N22*N38</f>
        <v>367960.32</v>
      </c>
      <c r="O41" s="53" t="n">
        <f aca="false">O22*O38</f>
        <v>1641502.08016704</v>
      </c>
      <c r="P41" s="53" t="n">
        <f aca="false">P22*P38</f>
        <v>4044423.27266091</v>
      </c>
    </row>
    <row r="42" customFormat="false" ht="15" hidden="false" customHeight="false" outlineLevel="0" collapsed="false">
      <c r="A42" s="10" t="s">
        <v>579</v>
      </c>
      <c r="B42" s="36" t="s">
        <v>169</v>
      </c>
      <c r="D42" s="53" t="n">
        <f aca="false">D27*D39</f>
        <v>221760</v>
      </c>
      <c r="E42" s="53" t="n">
        <f aca="false">E27*E39</f>
        <v>978703.16544</v>
      </c>
      <c r="F42" s="53" t="n">
        <f aca="false">F27*F39</f>
        <v>2380017.42508312</v>
      </c>
      <c r="I42" s="53" t="n">
        <f aca="false">I27*I39</f>
        <v>129729.6</v>
      </c>
      <c r="J42" s="53" t="n">
        <f aca="false">J27*J39</f>
        <v>568412.4478032</v>
      </c>
      <c r="K42" s="53" t="n">
        <f aca="false">K27*K39</f>
        <v>1370233.2083467</v>
      </c>
      <c r="N42" s="53" t="n">
        <f aca="false">N27*N39</f>
        <v>311351.04</v>
      </c>
      <c r="O42" s="53" t="n">
        <f aca="false">O27*O39</f>
        <v>1379053.9290528</v>
      </c>
      <c r="P42" s="53" t="n">
        <f aca="false">P27*P39</f>
        <v>3368273.38633752</v>
      </c>
    </row>
    <row r="43" customFormat="false" ht="15" hidden="false" customHeight="false" outlineLevel="0" collapsed="false">
      <c r="A43" s="10" t="s">
        <v>580</v>
      </c>
      <c r="B43" s="36" t="s">
        <v>169</v>
      </c>
      <c r="D43" s="53" t="n">
        <f aca="false">D32*D40</f>
        <v>72576</v>
      </c>
      <c r="E43" s="53" t="n">
        <f aca="false">E32*E40</f>
        <v>315683.10144</v>
      </c>
      <c r="F43" s="53" t="n">
        <f aca="false">F32*F40</f>
        <v>754360.304488762</v>
      </c>
      <c r="I43" s="53" t="n">
        <f aca="false">I32*I40</f>
        <v>42456.96</v>
      </c>
      <c r="J43" s="53" t="n">
        <f aca="false">J32*J40</f>
        <v>183323.33667648</v>
      </c>
      <c r="K43" s="53" t="n">
        <f aca="false">K32*K40</f>
        <v>434247.611385115</v>
      </c>
      <c r="N43" s="53" t="n">
        <f aca="false">N32*N40</f>
        <v>101896.704</v>
      </c>
      <c r="O43" s="53" t="n">
        <f aca="false">O32*O40</f>
        <v>444840.607620864</v>
      </c>
      <c r="P43" s="53" t="n">
        <f aca="false">P32*P40</f>
        <v>1067663.08039689</v>
      </c>
    </row>
    <row r="44" customFormat="false" ht="15" hidden="false" customHeight="false" outlineLevel="0" collapsed="false">
      <c r="A44" s="7" t="s">
        <v>581</v>
      </c>
      <c r="B44" s="36" t="s">
        <v>169</v>
      </c>
      <c r="D44" s="52" t="n">
        <f aca="false">D41+D42+D43</f>
        <v>556416</v>
      </c>
      <c r="E44" s="52" t="n">
        <f aca="false">E41+E42+E43</f>
        <v>2459376.68256</v>
      </c>
      <c r="F44" s="52" t="n">
        <f aca="false">F41+F42+F43</f>
        <v>5992256.5179647</v>
      </c>
      <c r="I44" s="52" t="n">
        <f aca="false">I41+I42+I43</f>
        <v>325503.36</v>
      </c>
      <c r="J44" s="52" t="n">
        <f aca="false">J41+J42+J43</f>
        <v>1428375.56385888</v>
      </c>
      <c r="K44" s="52" t="n">
        <f aca="false">K41+K42+K43</f>
        <v>3449938.3213461</v>
      </c>
      <c r="N44" s="52" t="n">
        <f aca="false">N41+N42+N43</f>
        <v>781208.064</v>
      </c>
      <c r="O44" s="52" t="n">
        <f aca="false">O41+O42+O43</f>
        <v>3465396.61684071</v>
      </c>
      <c r="P44" s="52" t="n">
        <f aca="false">P41+P42+P43</f>
        <v>8480359.73939531</v>
      </c>
    </row>
    <row r="45" customFormat="false" ht="15" hidden="false" customHeight="false" outlineLevel="0" collapsed="false">
      <c r="A45" s="10" t="s">
        <v>582</v>
      </c>
      <c r="B45" s="36" t="s">
        <v>169</v>
      </c>
      <c r="D45" s="53" t="n">
        <f aca="false">-D44*Assumptions!$D$57</f>
        <v>-122411.52</v>
      </c>
      <c r="E45" s="53" t="n">
        <f aca="false">-E44*Assumptions!$D$57</f>
        <v>-541062.8701632</v>
      </c>
      <c r="F45" s="53" t="n">
        <f aca="false">-F44*Assumptions!$D$57</f>
        <v>-1318296.43395223</v>
      </c>
      <c r="I45" s="53" t="n">
        <f aca="false">-I44*Assumptions!$D$57</f>
        <v>-71610.7392</v>
      </c>
      <c r="J45" s="53" t="n">
        <f aca="false">-J44*Assumptions!$D$57</f>
        <v>-314242.624048954</v>
      </c>
      <c r="K45" s="53" t="n">
        <f aca="false">-K44*Assumptions!$D$57</f>
        <v>-758986.430696141</v>
      </c>
      <c r="N45" s="53" t="n">
        <f aca="false">-N44*Assumptions!$D$57</f>
        <v>-171865.77408</v>
      </c>
      <c r="O45" s="53" t="n">
        <f aca="false">-O44*Assumptions!$D$57</f>
        <v>-762387.255704955</v>
      </c>
      <c r="P45" s="53" t="n">
        <f aca="false">-P44*Assumptions!$D$57</f>
        <v>-1865679.14266697</v>
      </c>
    </row>
    <row r="46" customFormat="false" ht="15" hidden="false" customHeight="false" outlineLevel="0" collapsed="false">
      <c r="A46" s="7" t="s">
        <v>583</v>
      </c>
      <c r="B46" s="36" t="s">
        <v>169</v>
      </c>
      <c r="D46" s="52" t="n">
        <f aca="false">D44+D45</f>
        <v>434004.48</v>
      </c>
      <c r="E46" s="52" t="n">
        <f aca="false">E44+E45</f>
        <v>1918313.8123968</v>
      </c>
      <c r="F46" s="52" t="n">
        <f aca="false">F44+F45</f>
        <v>4673960.08401247</v>
      </c>
      <c r="I46" s="52" t="n">
        <f aca="false">I44+I45</f>
        <v>253892.6208</v>
      </c>
      <c r="J46" s="52" t="n">
        <f aca="false">J44+J45</f>
        <v>1114132.93980993</v>
      </c>
      <c r="K46" s="52" t="n">
        <f aca="false">K44+K45</f>
        <v>2690951.89064996</v>
      </c>
      <c r="N46" s="52" t="n">
        <f aca="false">N44+N45</f>
        <v>609342.28992</v>
      </c>
      <c r="O46" s="52" t="n">
        <f aca="false">O44+O45</f>
        <v>2703009.36113575</v>
      </c>
      <c r="P46" s="52" t="n">
        <f aca="false">P44+P45</f>
        <v>6614680.59672834</v>
      </c>
    </row>
    <row r="47" customFormat="false" ht="15" hidden="false" customHeight="false" outlineLevel="0" collapsed="false">
      <c r="A47" s="10" t="s">
        <v>584</v>
      </c>
      <c r="B47" s="36" t="s">
        <v>169</v>
      </c>
      <c r="D47" s="53" t="n">
        <f aca="false">(D18*Assumptions!$C$52+D23*Assumptions!$D$52+D28*Assumptions!$E$52)*Assumptions!$D$58</f>
        <v>174240</v>
      </c>
      <c r="E47" s="53" t="n">
        <f aca="false">(E18*Assumptions!$C$52+E23*Assumptions!$D$52+E28*Assumptions!$E$52)*Assumptions!$D$58</f>
        <v>392040</v>
      </c>
      <c r="F47" s="53" t="n">
        <f aca="false">(F18*Assumptions!$C$52+F23*Assumptions!$D$52+F28*Assumptions!$E$52)*Assumptions!$D$58</f>
        <v>609840</v>
      </c>
      <c r="I47" s="53" t="n">
        <f aca="false">(I18*Assumptions!$C$52+I23*Assumptions!$D$52+I28*Assumptions!$E$52)*Assumptions!$D$58</f>
        <v>113256</v>
      </c>
      <c r="J47" s="53" t="n">
        <f aca="false">(J18*Assumptions!$C$52+J23*Assumptions!$D$52+J28*Assumptions!$E$52)*Assumptions!$D$58</f>
        <v>254826</v>
      </c>
      <c r="K47" s="53" t="n">
        <f aca="false">(K18*Assumptions!$C$52+K23*Assumptions!$D$52+K28*Assumptions!$E$52)*Assumptions!$D$58</f>
        <v>396396</v>
      </c>
      <c r="N47" s="53" t="n">
        <f aca="false">(N18*Assumptions!$C$52+N23*Assumptions!$D$52+N28*Assumptions!$E$52)*Assumptions!$D$58</f>
        <v>226512</v>
      </c>
      <c r="O47" s="53" t="n">
        <f aca="false">(O18*Assumptions!$C$52+O23*Assumptions!$D$52+O28*Assumptions!$E$52)*Assumptions!$D$58</f>
        <v>509652</v>
      </c>
      <c r="P47" s="53" t="n">
        <f aca="false">(P18*Assumptions!$C$52+P23*Assumptions!$D$52+P28*Assumptions!$E$52)*Assumptions!$D$58</f>
        <v>792792</v>
      </c>
    </row>
    <row r="48" customFormat="false" ht="15" hidden="false" customHeight="false" outlineLevel="0" collapsed="false">
      <c r="A48" s="10" t="s">
        <v>585</v>
      </c>
      <c r="B48" s="36" t="s">
        <v>169</v>
      </c>
      <c r="D48" s="53" t="n">
        <f aca="false">D17*Assumptions!$D$61</f>
        <v>60000</v>
      </c>
      <c r="E48" s="53" t="n">
        <f aca="false">E17*Assumptions!$D$61</f>
        <v>135000</v>
      </c>
      <c r="F48" s="53" t="n">
        <f aca="false">F17*Assumptions!$D$61</f>
        <v>210000</v>
      </c>
      <c r="I48" s="53" t="n">
        <f aca="false">I17*Assumptions!$D$61</f>
        <v>60000</v>
      </c>
      <c r="J48" s="53" t="n">
        <f aca="false">J17*Assumptions!$D$61</f>
        <v>135000</v>
      </c>
      <c r="K48" s="53" t="n">
        <f aca="false">K17*Assumptions!$D$61</f>
        <v>210000</v>
      </c>
      <c r="N48" s="53" t="n">
        <f aca="false">N17*Assumptions!$D$61</f>
        <v>60000</v>
      </c>
      <c r="O48" s="53" t="n">
        <f aca="false">O17*Assumptions!$D$61</f>
        <v>135000</v>
      </c>
      <c r="P48" s="53" t="n">
        <f aca="false">P17*Assumptions!$D$61</f>
        <v>210000</v>
      </c>
    </row>
    <row r="49" customFormat="false" ht="15" hidden="false" customHeight="false" outlineLevel="0" collapsed="false">
      <c r="A49" s="76" t="s">
        <v>586</v>
      </c>
      <c r="B49" s="77" t="s">
        <v>169</v>
      </c>
      <c r="C49" s="79" t="n">
        <v>0</v>
      </c>
      <c r="D49" s="79" t="n">
        <f aca="false">D46+D47+D48</f>
        <v>668244.48</v>
      </c>
      <c r="E49" s="79" t="n">
        <f aca="false">E46+E47+E48</f>
        <v>2445353.8123968</v>
      </c>
      <c r="F49" s="79" t="n">
        <f aca="false">F46+F47+F48</f>
        <v>5493800.08401247</v>
      </c>
      <c r="H49" s="79" t="n">
        <v>0</v>
      </c>
      <c r="I49" s="79" t="n">
        <f aca="false">I46+I47+I48</f>
        <v>427148.6208</v>
      </c>
      <c r="J49" s="79" t="n">
        <f aca="false">J46+J47+J48</f>
        <v>1503958.93980993</v>
      </c>
      <c r="K49" s="79" t="n">
        <f aca="false">K46+K47+K48</f>
        <v>3297347.89064996</v>
      </c>
      <c r="M49" s="79" t="n">
        <v>0</v>
      </c>
      <c r="N49" s="79" t="n">
        <f aca="false">N46+N47+N48</f>
        <v>895854.28992</v>
      </c>
      <c r="O49" s="79" t="n">
        <f aca="false">O46+O47+O48</f>
        <v>3347661.36113575</v>
      </c>
      <c r="P49" s="79" t="n">
        <f aca="false">P46+P47+P48</f>
        <v>7617472.59672834</v>
      </c>
    </row>
    <row r="50" customFormat="false" ht="15" hidden="false" customHeight="false" outlineLevel="0" collapsed="false">
      <c r="A50" s="7" t="s">
        <v>587</v>
      </c>
      <c r="B50" s="36" t="s">
        <v>169</v>
      </c>
      <c r="C50" s="52" t="n">
        <v>0</v>
      </c>
      <c r="D50" s="52" t="n">
        <f aca="false">(D21*D38+D26*D39+D31*D40)*(1-Assumptions!$D$57)</f>
        <v>868008.96</v>
      </c>
      <c r="E50" s="52" t="n">
        <f aca="false">(E21*E38+E26*E39+E31*E40)*(1-Assumptions!$D$57)</f>
        <v>2915756.9191296</v>
      </c>
      <c r="F50" s="52" t="n">
        <f aca="false">(F21*F38+F26*F39+F31*F40)*(1-Assumptions!$D$57)</f>
        <v>6254593.65252034</v>
      </c>
      <c r="H50" s="52" t="n">
        <v>0</v>
      </c>
      <c r="I50" s="52" t="n">
        <f aca="false">(I21*I38+I26*I39+I31*I40)*(1-Assumptions!$D$57)</f>
        <v>507785.2416</v>
      </c>
      <c r="J50" s="52" t="n">
        <f aca="false">(J21*J38+J26*J39+J31*J40)*(1-Assumptions!$D$57)</f>
        <v>1689556.51680641</v>
      </c>
      <c r="K50" s="52" t="n">
        <f aca="false">(K21*K38+K26*K39+K31*K40)*(1-Assumptions!$D$57)</f>
        <v>3589453.27261999</v>
      </c>
      <c r="M50" s="52" t="n">
        <v>0</v>
      </c>
      <c r="N50" s="52" t="n">
        <f aca="false">(N21*N38+N26*N39+N31*N40)*(1-Assumptions!$D$57)</f>
        <v>1218684.57984</v>
      </c>
      <c r="O50" s="52" t="n">
        <f aca="false">(O21*O38+O26*O39+O31*O40)*(1-Assumptions!$D$57)</f>
        <v>4113116.25151924</v>
      </c>
      <c r="P50" s="52" t="n">
        <f aca="false">(P21*P38+P26*P39+P31*P40)*(1-Assumptions!$D$57)</f>
        <v>8865756.16221992</v>
      </c>
    </row>
    <row r="52" customFormat="false" ht="15" hidden="false" customHeight="false" outlineLevel="0" collapsed="false">
      <c r="A52" s="4" t="s">
        <v>588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customFormat="false" ht="15" hidden="false" customHeight="false" outlineLevel="0" collapsed="false">
      <c r="A53" s="10" t="s">
        <v>589</v>
      </c>
      <c r="B53" s="36" t="s">
        <v>169</v>
      </c>
      <c r="D53" s="53" t="n">
        <f aca="false">D46*Assumptions!$C$31</f>
        <v>52080.5376</v>
      </c>
      <c r="E53" s="53" t="n">
        <f aca="false">E46*Assumptions!$C$31</f>
        <v>230197.657487616</v>
      </c>
      <c r="F53" s="53" t="n">
        <f aca="false">F46*Assumptions!$C$31</f>
        <v>560875.210081496</v>
      </c>
      <c r="I53" s="53" t="n">
        <f aca="false">I46*Assumptions!$C$31</f>
        <v>30467.114496</v>
      </c>
      <c r="J53" s="53" t="n">
        <f aca="false">J46*Assumptions!$C$31</f>
        <v>133695.952777191</v>
      </c>
      <c r="K53" s="53" t="n">
        <f aca="false">K46*Assumptions!$C$31</f>
        <v>322914.226877995</v>
      </c>
      <c r="N53" s="53" t="n">
        <f aca="false">N46*Assumptions!$C$31</f>
        <v>73121.0747904</v>
      </c>
      <c r="O53" s="53" t="n">
        <f aca="false">O46*Assumptions!$C$31</f>
        <v>324361.12333629</v>
      </c>
      <c r="P53" s="53" t="n">
        <f aca="false">P46*Assumptions!$C$31</f>
        <v>793761.671607401</v>
      </c>
    </row>
    <row r="54" customFormat="false" ht="15" hidden="false" customHeight="false" outlineLevel="0" collapsed="false">
      <c r="A54" s="10" t="s">
        <v>590</v>
      </c>
      <c r="B54" s="36" t="s">
        <v>169</v>
      </c>
      <c r="D54" s="53" t="n">
        <f aca="false">D47*(1-Assumptions!$D$59)</f>
        <v>121968</v>
      </c>
      <c r="E54" s="53" t="n">
        <f aca="false">E47*(1-Assumptions!$D$59)</f>
        <v>274428</v>
      </c>
      <c r="F54" s="53" t="n">
        <f aca="false">F47*(1-Assumptions!$D$59)</f>
        <v>426888</v>
      </c>
      <c r="I54" s="53" t="n">
        <f aca="false">I47*(1-Assumptions!$D$59)</f>
        <v>79279.2</v>
      </c>
      <c r="J54" s="53" t="n">
        <f aca="false">J47*(1-Assumptions!$D$59)</f>
        <v>178378.2</v>
      </c>
      <c r="K54" s="53" t="n">
        <f aca="false">K47*(1-Assumptions!$D$59)</f>
        <v>277477.2</v>
      </c>
      <c r="N54" s="53" t="n">
        <f aca="false">N47*(1-Assumptions!$D$59)</f>
        <v>158558.4</v>
      </c>
      <c r="O54" s="53" t="n">
        <f aca="false">O47*(1-Assumptions!$D$59)</f>
        <v>356756.4</v>
      </c>
      <c r="P54" s="53" t="n">
        <f aca="false">P47*(1-Assumptions!$D$59)</f>
        <v>554954.4</v>
      </c>
    </row>
    <row r="55" customFormat="false" ht="15" hidden="false" customHeight="false" outlineLevel="0" collapsed="false">
      <c r="A55" s="10" t="s">
        <v>591</v>
      </c>
      <c r="B55" s="36" t="s">
        <v>169</v>
      </c>
      <c r="D55" s="53" t="n">
        <f aca="false">(D22*Assumptions!$C$53+D27*Assumptions!$D$53+D32*Assumptions!$E$53)*Assumptions!$D$62*(1+Assumptions!$C$21)^0</f>
        <v>35952</v>
      </c>
      <c r="E55" s="53" t="n">
        <f aca="false">(E22*Assumptions!$C$53+E27*Assumptions!$D$53+E32*Assumptions!$E$53)*Assumptions!$D$62*(1+Assumptions!$C$21)^1</f>
        <v>155731.4304</v>
      </c>
      <c r="F55" s="53" t="n">
        <f aca="false">(F22*Assumptions!$C$53+F27*Assumptions!$D$53+F32*Assumptions!$E$53)*Assumptions!$D$62*(1+Assumptions!$C$21)^2</f>
        <v>371828.60961792</v>
      </c>
      <c r="I55" s="53" t="n">
        <f aca="false">(I22*Assumptions!$C$53+I27*Assumptions!$D$53+I32*Assumptions!$E$53)*Assumptions!$D$62*(1+Assumptions!$C$21)^0</f>
        <v>23368.8</v>
      </c>
      <c r="J55" s="53" t="n">
        <f aca="false">(J22*Assumptions!$C$53+J27*Assumptions!$D$53+J32*Assumptions!$E$53)*Assumptions!$D$62*(1+Assumptions!$C$21)^1</f>
        <v>100496.3232</v>
      </c>
      <c r="K55" s="53" t="n">
        <f aca="false">(K22*Assumptions!$C$53+K27*Assumptions!$D$53+K32*Assumptions!$E$53)*Assumptions!$D$62*(1+Assumptions!$C$21)^2</f>
        <v>237859.257732096</v>
      </c>
      <c r="N55" s="53" t="n">
        <f aca="false">(N22*Assumptions!$C$53+N27*Assumptions!$D$53+N32*Assumptions!$E$53)*Assumptions!$D$62*(1+Assumptions!$C$21)^0</f>
        <v>46737.6</v>
      </c>
      <c r="O55" s="53" t="n">
        <f aca="false">(O22*Assumptions!$C$53+O27*Assumptions!$D$53+O32*Assumptions!$E$53)*Assumptions!$D$62*(1+Assumptions!$C$21)^1</f>
        <v>203179.96608</v>
      </c>
      <c r="P55" s="53" t="n">
        <f aca="false">(P22*Assumptions!$C$53+P27*Assumptions!$D$53+P32*Assumptions!$E$53)*Assumptions!$D$62*(1+Assumptions!$C$21)^2</f>
        <v>487240.653209856</v>
      </c>
    </row>
    <row r="56" customFormat="false" ht="15" hidden="false" customHeight="false" outlineLevel="0" collapsed="false">
      <c r="A56" s="7" t="s">
        <v>592</v>
      </c>
      <c r="B56" s="36" t="s">
        <v>169</v>
      </c>
      <c r="C56" s="52" t="n">
        <f aca="false">C53+C54+C55</f>
        <v>0</v>
      </c>
      <c r="D56" s="52" t="n">
        <f aca="false">D53+D54+D55</f>
        <v>210000.5376</v>
      </c>
      <c r="E56" s="52" t="n">
        <f aca="false">E53+E54+E55</f>
        <v>660357.087887616</v>
      </c>
      <c r="F56" s="52" t="n">
        <f aca="false">F53+F54+F55</f>
        <v>1359591.81969942</v>
      </c>
      <c r="H56" s="52" t="n">
        <f aca="false">H53+H54+H55</f>
        <v>0</v>
      </c>
      <c r="I56" s="52" t="n">
        <f aca="false">I53+I54+I55</f>
        <v>133115.114496</v>
      </c>
      <c r="J56" s="52" t="n">
        <f aca="false">J53+J54+J55</f>
        <v>412570.475977191</v>
      </c>
      <c r="K56" s="52" t="n">
        <f aca="false">K53+K54+K55</f>
        <v>838250.684610091</v>
      </c>
      <c r="M56" s="52" t="n">
        <f aca="false">M53+M54+M55</f>
        <v>0</v>
      </c>
      <c r="N56" s="52" t="n">
        <f aca="false">N53+N54+N55</f>
        <v>278417.0747904</v>
      </c>
      <c r="O56" s="52" t="n">
        <f aca="false">O53+O54+O55</f>
        <v>884297.48941629</v>
      </c>
      <c r="P56" s="52" t="n">
        <f aca="false">P53+P54+P55</f>
        <v>1835956.72481726</v>
      </c>
    </row>
    <row r="57" customFormat="false" ht="15" hidden="false" customHeight="false" outlineLevel="0" collapsed="false">
      <c r="A57" s="76" t="s">
        <v>593</v>
      </c>
      <c r="B57" s="77" t="s">
        <v>169</v>
      </c>
      <c r="C57" s="79" t="n">
        <f aca="false">C49-C56</f>
        <v>0</v>
      </c>
      <c r="D57" s="79" t="n">
        <f aca="false">D49-D56</f>
        <v>458243.9424</v>
      </c>
      <c r="E57" s="79" t="n">
        <f aca="false">E49-E56</f>
        <v>1784996.72450918</v>
      </c>
      <c r="F57" s="79" t="n">
        <f aca="false">F49-F56</f>
        <v>4134208.26431305</v>
      </c>
      <c r="H57" s="79" t="n">
        <f aca="false">H49-H56</f>
        <v>0</v>
      </c>
      <c r="I57" s="79" t="n">
        <f aca="false">I49-I56</f>
        <v>294033.506304</v>
      </c>
      <c r="J57" s="79" t="n">
        <f aca="false">J49-J56</f>
        <v>1091388.46383274</v>
      </c>
      <c r="K57" s="79" t="n">
        <f aca="false">K49-K56</f>
        <v>2459097.20603986</v>
      </c>
      <c r="M57" s="79" t="n">
        <f aca="false">M49-M56</f>
        <v>0</v>
      </c>
      <c r="N57" s="79" t="n">
        <f aca="false">N49-N56</f>
        <v>617437.2151296</v>
      </c>
      <c r="O57" s="79" t="n">
        <f aca="false">O49-O56</f>
        <v>2463363.87171946</v>
      </c>
      <c r="P57" s="79" t="n">
        <f aca="false">P49-P56</f>
        <v>5781515.87191109</v>
      </c>
    </row>
    <row r="58" customFormat="false" ht="15" hidden="false" customHeight="false" outlineLevel="0" collapsed="false">
      <c r="A58" s="10" t="s">
        <v>594</v>
      </c>
      <c r="B58" s="36" t="s">
        <v>127</v>
      </c>
      <c r="D58" s="46" t="n">
        <f aca="false">IF(D49=0,0,D57/D49)</f>
        <v>0.685742952040547</v>
      </c>
      <c r="E58" s="46" t="n">
        <f aca="false">IF(E49=0,0,E57/E49)</f>
        <v>0.729954379386772</v>
      </c>
      <c r="F58" s="46" t="n">
        <f aca="false">IF(F49=0,0,F57/F49)</f>
        <v>0.752522516489821</v>
      </c>
      <c r="I58" s="46" t="n">
        <f aca="false">IF(I49=0,0,I57/I49)</f>
        <v>0.688363468792921</v>
      </c>
      <c r="J58" s="46" t="n">
        <f aca="false">IF(J49=0,0,J57/J49)</f>
        <v>0.725677034753799</v>
      </c>
      <c r="K58" s="46" t="n">
        <f aca="false">IF(K49=0,0,K57/K49)</f>
        <v>0.745780332434119</v>
      </c>
      <c r="N58" s="46" t="n">
        <f aca="false">IF(N49=0,0,N57/N49)</f>
        <v>0.689216117036999</v>
      </c>
      <c r="O58" s="46" t="n">
        <f aca="false">IF(O49=0,0,O57/O49)</f>
        <v>0.735846194097638</v>
      </c>
      <c r="P58" s="46" t="n">
        <f aca="false">IF(P49=0,0,P57/P49)</f>
        <v>0.758980855985516</v>
      </c>
    </row>
    <row r="60" customFormat="false" ht="15" hidden="false" customHeight="false" outlineLevel="0" collapsed="false">
      <c r="A60" s="4" t="s">
        <v>595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customFormat="false" ht="15" hidden="false" customHeight="false" outlineLevel="0" collapsed="false">
      <c r="A61" s="10" t="s">
        <v>596</v>
      </c>
      <c r="B61" s="36" t="s">
        <v>276</v>
      </c>
      <c r="C61" s="49" t="n">
        <v>0</v>
      </c>
      <c r="D61" s="49" t="n">
        <f aca="false">Assumptions!$C$116+Assumptions!$C$117+Assumptions!$C$118+Assumptions!$C$119+Assumptions!$C$120+Assumptions!$C$121+Assumptions!$C$122</f>
        <v>7</v>
      </c>
      <c r="E61" s="49" t="n">
        <f aca="false">Assumptions!$D$116+Assumptions!$D$117+Assumptions!$D$118+Assumptions!$D$119+Assumptions!$D$120+Assumptions!$D$121+Assumptions!$D$122</f>
        <v>10</v>
      </c>
      <c r="F61" s="49" t="n">
        <f aca="false">Assumptions!$E$116+Assumptions!$E$117+Assumptions!$E$118+Assumptions!$E$119+Assumptions!$E$120+Assumptions!$E$121+Assumptions!$E$122</f>
        <v>12.5</v>
      </c>
      <c r="H61" s="49" t="n">
        <v>0</v>
      </c>
      <c r="I61" s="49" t="n">
        <f aca="false">Assumptions!$C$116+Assumptions!$C$117+Assumptions!$C$118+Assumptions!$C$119+Assumptions!$C$120+Assumptions!$C$121+Assumptions!$C$122</f>
        <v>7</v>
      </c>
      <c r="J61" s="49" t="n">
        <f aca="false">Assumptions!$D$116+Assumptions!$D$117+Assumptions!$D$118+Assumptions!$D$119+Assumptions!$D$120+Assumptions!$D$121+Assumptions!$D$122</f>
        <v>10</v>
      </c>
      <c r="K61" s="49" t="n">
        <f aca="false">Assumptions!$E$116+Assumptions!$E$117+Assumptions!$E$118+Assumptions!$E$119+Assumptions!$E$120+Assumptions!$E$121+Assumptions!$E$122</f>
        <v>12.5</v>
      </c>
      <c r="M61" s="49" t="n">
        <v>0</v>
      </c>
      <c r="N61" s="49" t="n">
        <f aca="false">Assumptions!$C$116+Assumptions!$C$117+Assumptions!$C$118+Assumptions!$C$119+Assumptions!$C$120+Assumptions!$C$121+Assumptions!$C$122</f>
        <v>7</v>
      </c>
      <c r="O61" s="49" t="n">
        <f aca="false">Assumptions!$D$116+Assumptions!$D$117+Assumptions!$D$118+Assumptions!$D$119+Assumptions!$D$120+Assumptions!$D$121+Assumptions!$D$122</f>
        <v>10</v>
      </c>
      <c r="P61" s="49" t="n">
        <f aca="false">Assumptions!$E$116+Assumptions!$E$117+Assumptions!$E$118+Assumptions!$E$119+Assumptions!$E$120+Assumptions!$E$121+Assumptions!$E$122</f>
        <v>12.5</v>
      </c>
    </row>
    <row r="62" customFormat="false" ht="15" hidden="false" customHeight="false" outlineLevel="0" collapsed="false">
      <c r="A62" s="10" t="s">
        <v>597</v>
      </c>
      <c r="B62" s="36" t="s">
        <v>169</v>
      </c>
      <c r="D62" s="53" t="n">
        <f aca="false">Assumptions!$C$116*Assumptions!$C$73*Assumptions!$C$20*(1+Assumptions!$C$19)*(1+Assumptions!$C$21)^0*$C$14</f>
        <v>430560</v>
      </c>
      <c r="E62" s="53" t="n">
        <f aca="false">Assumptions!$D$116*Assumptions!$C$73*Assumptions!$C$20*(1+Assumptions!$C$19)*(1+Assumptions!$C$21)^1*$C$14</f>
        <v>447782.4</v>
      </c>
      <c r="F62" s="53" t="n">
        <f aca="false">Assumptions!$E$116*Assumptions!$C$73*Assumptions!$C$20*(1+Assumptions!$C$19)*(1+Assumptions!$C$21)^2*$C$14</f>
        <v>465693.696</v>
      </c>
      <c r="I62" s="53" t="n">
        <f aca="false">Assumptions!$C$116*Assumptions!$C$73*Assumptions!$C$20*(1+Assumptions!$C$19)*(1+Assumptions!$C$21)^0*$H$14</f>
        <v>452088</v>
      </c>
      <c r="J62" s="53" t="n">
        <f aca="false">Assumptions!$D$116*Assumptions!$C$73*Assumptions!$C$20*(1+Assumptions!$C$19)*(1+Assumptions!$C$21)^1*$H$14</f>
        <v>470171.52</v>
      </c>
      <c r="K62" s="53" t="n">
        <f aca="false">Assumptions!$E$116*Assumptions!$C$73*Assumptions!$C$20*(1+Assumptions!$C$19)*(1+Assumptions!$C$21)^2*$H$14</f>
        <v>488978.3808</v>
      </c>
      <c r="N62" s="53" t="n">
        <f aca="false">Assumptions!$C$116*Assumptions!$C$73*Assumptions!$C$20*(1+Assumptions!$C$19)*(1+Assumptions!$C$21)^0*$M$14</f>
        <v>430560</v>
      </c>
      <c r="O62" s="53" t="n">
        <f aca="false">Assumptions!$D$116*Assumptions!$C$73*Assumptions!$C$20*(1+Assumptions!$C$19)*(1+Assumptions!$C$21)^1*$M$14</f>
        <v>447782.4</v>
      </c>
      <c r="P62" s="53" t="n">
        <f aca="false">Assumptions!$E$116*Assumptions!$C$73*Assumptions!$C$20*(1+Assumptions!$C$19)*(1+Assumptions!$C$21)^2*$M$14</f>
        <v>465693.696</v>
      </c>
    </row>
    <row r="63" customFormat="false" ht="15" hidden="false" customHeight="false" outlineLevel="0" collapsed="false">
      <c r="A63" s="10" t="s">
        <v>598</v>
      </c>
      <c r="B63" s="36" t="s">
        <v>169</v>
      </c>
      <c r="D63" s="53" t="n">
        <f aca="false">Assumptions!$C$117*Assumptions!$C$74*Assumptions!$C$20*(1+Assumptions!$C$19)*(1+Assumptions!$C$21)^0*$C$14</f>
        <v>0</v>
      </c>
      <c r="E63" s="53" t="n">
        <f aca="false">Assumptions!$D$117*Assumptions!$C$74*Assumptions!$C$20*(1+Assumptions!$C$19)*(1+Assumptions!$C$21)^1*$C$14</f>
        <v>0</v>
      </c>
      <c r="F63" s="53" t="n">
        <f aca="false">Assumptions!$E$117*Assumptions!$C$74*Assumptions!$C$20*(1+Assumptions!$C$19)*(1+Assumptions!$C$21)^2*$C$14</f>
        <v>0</v>
      </c>
      <c r="I63" s="53" t="n">
        <f aca="false">Assumptions!$C$117*Assumptions!$C$74*Assumptions!$C$20*(1+Assumptions!$C$19)*(1+Assumptions!$C$21)^0*$H$14</f>
        <v>0</v>
      </c>
      <c r="J63" s="53" t="n">
        <f aca="false">Assumptions!$D$117*Assumptions!$C$74*Assumptions!$C$20*(1+Assumptions!$C$19)*(1+Assumptions!$C$21)^1*$H$14</f>
        <v>0</v>
      </c>
      <c r="K63" s="53" t="n">
        <f aca="false">Assumptions!$E$117*Assumptions!$C$74*Assumptions!$C$20*(1+Assumptions!$C$19)*(1+Assumptions!$C$21)^2*$H$14</f>
        <v>0</v>
      </c>
      <c r="N63" s="53" t="n">
        <f aca="false">Assumptions!$C$117*Assumptions!$C$74*Assumptions!$C$20*(1+Assumptions!$C$19)*(1+Assumptions!$C$21)^0*$M$14</f>
        <v>0</v>
      </c>
      <c r="O63" s="53" t="n">
        <f aca="false">Assumptions!$D$117*Assumptions!$C$74*Assumptions!$C$20*(1+Assumptions!$C$19)*(1+Assumptions!$C$21)^1*$M$14</f>
        <v>0</v>
      </c>
      <c r="P63" s="53" t="n">
        <f aca="false">Assumptions!$E$117*Assumptions!$C$74*Assumptions!$C$20*(1+Assumptions!$C$19)*(1+Assumptions!$C$21)^2*$M$14</f>
        <v>0</v>
      </c>
    </row>
    <row r="64" customFormat="false" ht="15" hidden="false" customHeight="false" outlineLevel="0" collapsed="false">
      <c r="A64" s="10" t="s">
        <v>599</v>
      </c>
      <c r="B64" s="36" t="s">
        <v>169</v>
      </c>
      <c r="D64" s="53" t="n">
        <f aca="false">Assumptions!$C$118*Assumptions!$C$75*Assumptions!$C$20*(1+Assumptions!$C$19)*(1+Assumptions!$C$21)^0*$C$14</f>
        <v>349830</v>
      </c>
      <c r="E64" s="53" t="n">
        <f aca="false">Assumptions!$D$118*Assumptions!$C$75*Assumptions!$C$20*(1+Assumptions!$C$19)*(1+Assumptions!$C$21)^1*$C$14</f>
        <v>545734.8</v>
      </c>
      <c r="F64" s="53" t="n">
        <f aca="false">Assumptions!$E$118*Assumptions!$C$75*Assumptions!$C$20*(1+Assumptions!$C$19)*(1+Assumptions!$C$21)^2*$C$14</f>
        <v>756752.256</v>
      </c>
      <c r="I64" s="53" t="n">
        <f aca="false">Assumptions!$C$118*Assumptions!$C$75*Assumptions!$C$20*(1+Assumptions!$C$19)*(1+Assumptions!$C$21)^0*$H$14</f>
        <v>367321.5</v>
      </c>
      <c r="J64" s="53" t="n">
        <f aca="false">Assumptions!$D$118*Assumptions!$C$75*Assumptions!$C$20*(1+Assumptions!$C$19)*(1+Assumptions!$C$21)^1*$H$14</f>
        <v>573021.54</v>
      </c>
      <c r="K64" s="53" t="n">
        <f aca="false">Assumptions!$E$118*Assumptions!$C$75*Assumptions!$C$20*(1+Assumptions!$C$19)*(1+Assumptions!$C$21)^2*$H$14</f>
        <v>794589.8688</v>
      </c>
      <c r="N64" s="53" t="n">
        <f aca="false">Assumptions!$C$118*Assumptions!$C$75*Assumptions!$C$20*(1+Assumptions!$C$19)*(1+Assumptions!$C$21)^0*$M$14</f>
        <v>349830</v>
      </c>
      <c r="O64" s="53" t="n">
        <f aca="false">Assumptions!$D$118*Assumptions!$C$75*Assumptions!$C$20*(1+Assumptions!$C$19)*(1+Assumptions!$C$21)^1*$M$14</f>
        <v>545734.8</v>
      </c>
      <c r="P64" s="53" t="n">
        <f aca="false">Assumptions!$E$118*Assumptions!$C$75*Assumptions!$C$20*(1+Assumptions!$C$19)*(1+Assumptions!$C$21)^2*$M$14</f>
        <v>756752.256</v>
      </c>
    </row>
    <row r="65" customFormat="false" ht="15" hidden="false" customHeight="false" outlineLevel="0" collapsed="false">
      <c r="A65" s="10" t="s">
        <v>600</v>
      </c>
      <c r="B65" s="36" t="s">
        <v>169</v>
      </c>
      <c r="D65" s="53" t="n">
        <f aca="false">Assumptions!$C$119*Assumptions!$C$76*Assumptions!$C$20*(1+Assumptions!$C$19)*(1+Assumptions!$C$21)^0*$C$14</f>
        <v>134550</v>
      </c>
      <c r="E65" s="53" t="n">
        <f aca="false">Assumptions!$D$119*Assumptions!$C$76*Assumptions!$C$20*(1+Assumptions!$C$19)*(1+Assumptions!$C$21)^1*$C$14</f>
        <v>279864</v>
      </c>
      <c r="F65" s="53" t="n">
        <f aca="false">Assumptions!$E$119*Assumptions!$C$76*Assumptions!$C$20*(1+Assumptions!$C$19)*(1+Assumptions!$C$21)^2*$C$14</f>
        <v>436587.84</v>
      </c>
      <c r="I65" s="53" t="n">
        <f aca="false">Assumptions!$C$119*Assumptions!$C$76*Assumptions!$C$20*(1+Assumptions!$C$19)*(1+Assumptions!$C$21)^0*$H$14</f>
        <v>141277.5</v>
      </c>
      <c r="J65" s="53" t="n">
        <f aca="false">Assumptions!$D$119*Assumptions!$C$76*Assumptions!$C$20*(1+Assumptions!$C$19)*(1+Assumptions!$C$21)^1*$H$14</f>
        <v>293857.2</v>
      </c>
      <c r="K65" s="53" t="n">
        <f aca="false">Assumptions!$E$119*Assumptions!$C$76*Assumptions!$C$20*(1+Assumptions!$C$19)*(1+Assumptions!$C$21)^2*$H$14</f>
        <v>458417.232</v>
      </c>
      <c r="N65" s="53" t="n">
        <f aca="false">Assumptions!$C$119*Assumptions!$C$76*Assumptions!$C$20*(1+Assumptions!$C$19)*(1+Assumptions!$C$21)^0*$M$14</f>
        <v>134550</v>
      </c>
      <c r="O65" s="53" t="n">
        <f aca="false">Assumptions!$D$119*Assumptions!$C$76*Assumptions!$C$20*(1+Assumptions!$C$19)*(1+Assumptions!$C$21)^1*$M$14</f>
        <v>279864</v>
      </c>
      <c r="P65" s="53" t="n">
        <f aca="false">Assumptions!$E$119*Assumptions!$C$76*Assumptions!$C$20*(1+Assumptions!$C$19)*(1+Assumptions!$C$21)^2*$M$14</f>
        <v>436587.84</v>
      </c>
    </row>
    <row r="66" customFormat="false" ht="15" hidden="false" customHeight="false" outlineLevel="0" collapsed="false">
      <c r="A66" s="10" t="s">
        <v>601</v>
      </c>
      <c r="B66" s="36" t="s">
        <v>169</v>
      </c>
      <c r="D66" s="53" t="n">
        <f aca="false">Assumptions!$C$120*Assumptions!$C$77*Assumptions!$C$20*(1+Assumptions!$C$19)*(1+Assumptions!$C$21)^0*$C$14</f>
        <v>107640</v>
      </c>
      <c r="E66" s="53" t="n">
        <f aca="false">Assumptions!$D$120*Assumptions!$C$77*Assumptions!$C$20*(1+Assumptions!$C$19)*(1+Assumptions!$C$21)^1*$C$14</f>
        <v>223891.2</v>
      </c>
      <c r="F66" s="53" t="n">
        <f aca="false">Assumptions!$E$120*Assumptions!$C$77*Assumptions!$C$20*(1+Assumptions!$C$19)*(1+Assumptions!$C$21)^2*$C$14</f>
        <v>232846.848</v>
      </c>
      <c r="I66" s="53" t="n">
        <f aca="false">Assumptions!$C$120*Assumptions!$C$77*Assumptions!$C$20*(1+Assumptions!$C$19)*(1+Assumptions!$C$21)^0*$H$14</f>
        <v>113022</v>
      </c>
      <c r="J66" s="53" t="n">
        <f aca="false">Assumptions!$D$120*Assumptions!$C$77*Assumptions!$C$20*(1+Assumptions!$C$19)*(1+Assumptions!$C$21)^1*$H$14</f>
        <v>235085.76</v>
      </c>
      <c r="K66" s="53" t="n">
        <f aca="false">Assumptions!$E$120*Assumptions!$C$77*Assumptions!$C$20*(1+Assumptions!$C$19)*(1+Assumptions!$C$21)^2*$H$14</f>
        <v>244489.1904</v>
      </c>
      <c r="N66" s="53" t="n">
        <f aca="false">Assumptions!$C$120*Assumptions!$C$77*Assumptions!$C$20*(1+Assumptions!$C$19)*(1+Assumptions!$C$21)^0*$M$14</f>
        <v>107640</v>
      </c>
      <c r="O66" s="53" t="n">
        <f aca="false">Assumptions!$D$120*Assumptions!$C$77*Assumptions!$C$20*(1+Assumptions!$C$19)*(1+Assumptions!$C$21)^1*$M$14</f>
        <v>223891.2</v>
      </c>
      <c r="P66" s="53" t="n">
        <f aca="false">Assumptions!$E$120*Assumptions!$C$77*Assumptions!$C$20*(1+Assumptions!$C$19)*(1+Assumptions!$C$21)^2*$M$14</f>
        <v>232846.848</v>
      </c>
    </row>
    <row r="67" customFormat="false" ht="15" hidden="false" customHeight="false" outlineLevel="0" collapsed="false">
      <c r="A67" s="10" t="s">
        <v>602</v>
      </c>
      <c r="B67" s="36" t="s">
        <v>169</v>
      </c>
      <c r="D67" s="53" t="n">
        <f aca="false">Assumptions!$C$121*Assumptions!$C$78*Assumptions!$C$20*(1+Assumptions!$C$19)*(1+Assumptions!$C$21)^0*$C$14</f>
        <v>114367.5</v>
      </c>
      <c r="E67" s="53" t="n">
        <f aca="false">Assumptions!$D$121*Assumptions!$C$78*Assumptions!$C$20*(1+Assumptions!$C$19)*(1+Assumptions!$C$21)^1*$C$14</f>
        <v>118942.2</v>
      </c>
      <c r="F67" s="53" t="n">
        <f aca="false">Assumptions!$E$121*Assumptions!$C$78*Assumptions!$C$20*(1+Assumptions!$C$19)*(1+Assumptions!$C$21)^2*$C$14</f>
        <v>185549.832</v>
      </c>
      <c r="I67" s="53" t="n">
        <f aca="false">Assumptions!$C$121*Assumptions!$C$78*Assumptions!$C$20*(1+Assumptions!$C$19)*(1+Assumptions!$C$21)^0*$H$14</f>
        <v>120085.875</v>
      </c>
      <c r="J67" s="53" t="n">
        <f aca="false">Assumptions!$D$121*Assumptions!$C$78*Assumptions!$C$20*(1+Assumptions!$C$19)*(1+Assumptions!$C$21)^1*$H$14</f>
        <v>124889.31</v>
      </c>
      <c r="K67" s="53" t="n">
        <f aca="false">Assumptions!$E$121*Assumptions!$C$78*Assumptions!$C$20*(1+Assumptions!$C$19)*(1+Assumptions!$C$21)^2*$H$14</f>
        <v>194827.3236</v>
      </c>
      <c r="N67" s="53" t="n">
        <f aca="false">Assumptions!$C$121*Assumptions!$C$78*Assumptions!$C$20*(1+Assumptions!$C$19)*(1+Assumptions!$C$21)^0*$M$14</f>
        <v>114367.5</v>
      </c>
      <c r="O67" s="53" t="n">
        <f aca="false">Assumptions!$D$121*Assumptions!$C$78*Assumptions!$C$20*(1+Assumptions!$C$19)*(1+Assumptions!$C$21)^1*$M$14</f>
        <v>118942.2</v>
      </c>
      <c r="P67" s="53" t="n">
        <f aca="false">Assumptions!$E$121*Assumptions!$C$78*Assumptions!$C$20*(1+Assumptions!$C$19)*(1+Assumptions!$C$21)^2*$M$14</f>
        <v>185549.832</v>
      </c>
    </row>
    <row r="68" customFormat="false" ht="15" hidden="false" customHeight="false" outlineLevel="0" collapsed="false">
      <c r="A68" s="10" t="s">
        <v>603</v>
      </c>
      <c r="B68" s="36" t="s">
        <v>169</v>
      </c>
      <c r="D68" s="53" t="n">
        <f aca="false">Assumptions!$C$122*Assumptions!$C$79*12*(1+Assumptions!$C$21)^0*$C$14</f>
        <v>324000</v>
      </c>
      <c r="E68" s="53" t="n">
        <f aca="false">Assumptions!$D$122*Assumptions!$C$79*12*(1+Assumptions!$C$21)^1*$C$14</f>
        <v>336960</v>
      </c>
      <c r="F68" s="53" t="n">
        <f aca="false">Assumptions!$E$122*Assumptions!$C$79*12*(1+Assumptions!$C$21)^2*$C$14</f>
        <v>350438.4</v>
      </c>
      <c r="I68" s="53" t="n">
        <f aca="false">Assumptions!$C$122*Assumptions!$C$79*12*(1+Assumptions!$C$21)^0*$H$14</f>
        <v>340200</v>
      </c>
      <c r="J68" s="53" t="n">
        <f aca="false">Assumptions!$D$122*Assumptions!$C$79*12*(1+Assumptions!$C$21)^1*$H$14</f>
        <v>353808</v>
      </c>
      <c r="K68" s="53" t="n">
        <f aca="false">Assumptions!$E$122*Assumptions!$C$79*12*(1+Assumptions!$C$21)^2*$H$14</f>
        <v>367960.32</v>
      </c>
      <c r="N68" s="53" t="n">
        <f aca="false">Assumptions!$C$122*Assumptions!$C$79*12*(1+Assumptions!$C$21)^0*$M$14</f>
        <v>324000</v>
      </c>
      <c r="O68" s="53" t="n">
        <f aca="false">Assumptions!$D$122*Assumptions!$C$79*12*(1+Assumptions!$C$21)^1*$M$14</f>
        <v>336960</v>
      </c>
      <c r="P68" s="53" t="n">
        <f aca="false">Assumptions!$E$122*Assumptions!$C$79*12*(1+Assumptions!$C$21)^2*$M$14</f>
        <v>350438.4</v>
      </c>
    </row>
    <row r="69" customFormat="false" ht="15" hidden="false" customHeight="false" outlineLevel="0" collapsed="false">
      <c r="A69" s="10" t="s">
        <v>681</v>
      </c>
      <c r="B69" s="36" t="s">
        <v>169</v>
      </c>
      <c r="D69" s="53" t="n">
        <f aca="false">Assumptions!$C$123*Assumptions!$C$80*12*(1+Assumptions!$C$21)^0*$C$14*(1+Assumptions!$C$94)</f>
        <v>756000</v>
      </c>
      <c r="E69" s="53" t="n">
        <f aca="false">Assumptions!$D$123*Assumptions!$C$80*12*(1+Assumptions!$C$21)^1*$C$14*(1+Assumptions!$C$94)</f>
        <v>550368</v>
      </c>
      <c r="F69" s="53" t="n">
        <f aca="false">Assumptions!$E$123*Assumptions!$C$80*12*(1+Assumptions!$C$21)^2*$C$14*(1+Assumptions!$C$94)</f>
        <v>408844.8</v>
      </c>
      <c r="I69" s="53" t="n">
        <f aca="false">Assumptions!$C$123*Assumptions!$C$80*12*(1+Assumptions!$C$21)^0*$H$14*(1+Assumptions!$C$94)</f>
        <v>793800</v>
      </c>
      <c r="J69" s="53" t="n">
        <f aca="false">Assumptions!$D$123*Assumptions!$C$80*12*(1+Assumptions!$C$21)^1*$H$14*(1+Assumptions!$C$94)</f>
        <v>577886.4</v>
      </c>
      <c r="K69" s="53" t="n">
        <f aca="false">Assumptions!$E$123*Assumptions!$C$80*12*(1+Assumptions!$C$21)^2*$H$14*(1+Assumptions!$C$94)</f>
        <v>429287.04</v>
      </c>
      <c r="N69" s="53" t="n">
        <f aca="false">Assumptions!$C$123*Assumptions!$C$80*12*(1+Assumptions!$C$21)^0*$M$14*(1+Assumptions!$C$94)</f>
        <v>756000</v>
      </c>
      <c r="O69" s="53" t="n">
        <f aca="false">Assumptions!$D$123*Assumptions!$C$80*12*(1+Assumptions!$C$21)^1*$M$14*(1+Assumptions!$C$94)</f>
        <v>550368</v>
      </c>
      <c r="P69" s="53" t="n">
        <f aca="false">Assumptions!$E$123*Assumptions!$C$80*12*(1+Assumptions!$C$21)^2*$M$14*(1+Assumptions!$C$94)</f>
        <v>408844.8</v>
      </c>
    </row>
    <row r="70" customFormat="false" ht="15" hidden="false" customHeight="false" outlineLevel="0" collapsed="false">
      <c r="A70" s="10" t="s">
        <v>605</v>
      </c>
      <c r="B70" s="36" t="s">
        <v>169</v>
      </c>
      <c r="D70" s="53" t="n">
        <f aca="false">(D18*D38+D23*D39+D28*D40)*Assumptions!$D$60</f>
        <v>44513.28</v>
      </c>
      <c r="E70" s="53" t="n">
        <f aca="false">(E18*E38+E23*E39+E28*E40)*Assumptions!$D$60</f>
        <v>106254.312192</v>
      </c>
      <c r="F70" s="53" t="n">
        <f aca="false">(F18*F38+F23*F39+F28*F40)*Assumptions!$D$60</f>
        <v>175350.310806989</v>
      </c>
      <c r="I70" s="53" t="n">
        <f aca="false">(I18*I38+I23*I39+I28*I40)*Assumptions!$D$60</f>
        <v>26040.2688</v>
      </c>
      <c r="J70" s="53" t="n">
        <f aca="false">(J18*J38+J23*J39+J28*J40)*Assumptions!$D$60</f>
        <v>62158.77263232</v>
      </c>
      <c r="K70" s="53" t="n">
        <f aca="false">(K18*K38+K23*K39+K28*K40)*Assumptions!$D$60</f>
        <v>102579.931822088</v>
      </c>
      <c r="N70" s="53" t="n">
        <f aca="false">(N18*N38+N23*N39+N28*N40)*Assumptions!$D$60</f>
        <v>62496.64512</v>
      </c>
      <c r="O70" s="53" t="n">
        <f aca="false">(O18*O38+O23*O39+O28*O40)*Assumptions!$D$60</f>
        <v>149181.054317568</v>
      </c>
      <c r="P70" s="53" t="n">
        <f aca="false">(P18*P38+P23*P39+P28*P40)*Assumptions!$D$60</f>
        <v>246191.836373012</v>
      </c>
    </row>
    <row r="71" customFormat="false" ht="15" hidden="false" customHeight="false" outlineLevel="0" collapsed="false">
      <c r="A71" s="10" t="s">
        <v>606</v>
      </c>
      <c r="B71" s="36" t="s">
        <v>169</v>
      </c>
      <c r="D71" s="53" t="n">
        <f aca="false">Assumptions!$C$124*$C$14</f>
        <v>405000</v>
      </c>
      <c r="E71" s="53" t="n">
        <f aca="false">Assumptions!$D$124*$C$14</f>
        <v>630000</v>
      </c>
      <c r="F71" s="53" t="n">
        <f aca="false">Assumptions!$E$124*$C$14</f>
        <v>810000</v>
      </c>
      <c r="I71" s="53" t="n">
        <f aca="false">Assumptions!$C$124*$H$14</f>
        <v>425250</v>
      </c>
      <c r="J71" s="53" t="n">
        <f aca="false">Assumptions!$D$124*$H$14</f>
        <v>661500</v>
      </c>
      <c r="K71" s="53" t="n">
        <f aca="false">Assumptions!$E$124*$H$14</f>
        <v>850500</v>
      </c>
      <c r="N71" s="53" t="n">
        <f aca="false">Assumptions!$C$124*$M$14</f>
        <v>405000</v>
      </c>
      <c r="O71" s="53" t="n">
        <f aca="false">Assumptions!$D$124*$M$14</f>
        <v>630000</v>
      </c>
      <c r="P71" s="53" t="n">
        <f aca="false">Assumptions!$E$124*$M$14</f>
        <v>810000</v>
      </c>
    </row>
    <row r="72" customFormat="false" ht="15" hidden="false" customHeight="false" outlineLevel="0" collapsed="false">
      <c r="A72" s="10" t="s">
        <v>607</v>
      </c>
      <c r="B72" s="36" t="s">
        <v>169</v>
      </c>
      <c r="D72" s="53" t="n">
        <f aca="false">D61*Assumptions!$C$32*(1+Assumptions!$C$21)^0*$C$14</f>
        <v>151200</v>
      </c>
      <c r="E72" s="53" t="n">
        <f aca="false">E61*Assumptions!$C$32*(1+Assumptions!$C$21)^1*$C$14</f>
        <v>224640</v>
      </c>
      <c r="F72" s="53" t="n">
        <f aca="false">F61*Assumptions!$C$32*(1+Assumptions!$C$21)^2*$C$14</f>
        <v>292032</v>
      </c>
      <c r="I72" s="53" t="n">
        <f aca="false">I61*Assumptions!$C$32*(1+Assumptions!$C$21)^0*$H$14</f>
        <v>158760</v>
      </c>
      <c r="J72" s="53" t="n">
        <f aca="false">J61*Assumptions!$C$32*(1+Assumptions!$C$21)^1*$H$14</f>
        <v>235872</v>
      </c>
      <c r="K72" s="53" t="n">
        <f aca="false">K61*Assumptions!$C$32*(1+Assumptions!$C$21)^2*$H$14</f>
        <v>306633.6</v>
      </c>
      <c r="N72" s="53" t="n">
        <f aca="false">N61*Assumptions!$C$32*(1+Assumptions!$C$21)^0*$M$14</f>
        <v>151200</v>
      </c>
      <c r="O72" s="53" t="n">
        <f aca="false">O61*Assumptions!$C$32*(1+Assumptions!$C$21)^1*$M$14</f>
        <v>224640</v>
      </c>
      <c r="P72" s="53" t="n">
        <f aca="false">P61*Assumptions!$C$32*(1+Assumptions!$C$21)^2*$M$14</f>
        <v>292032</v>
      </c>
    </row>
    <row r="73" customFormat="false" ht="15" hidden="false" customHeight="false" outlineLevel="0" collapsed="false">
      <c r="A73" s="10" t="s">
        <v>608</v>
      </c>
      <c r="B73" s="36" t="s">
        <v>169</v>
      </c>
      <c r="D73" s="53" t="n">
        <f aca="false">Assumptions!$C$125*$C$14</f>
        <v>252000</v>
      </c>
      <c r="E73" s="53" t="n">
        <f aca="false">Assumptions!$D$125*$C$14</f>
        <v>288000</v>
      </c>
      <c r="F73" s="53" t="n">
        <f aca="false">Assumptions!$E$125*$C$14</f>
        <v>324000</v>
      </c>
      <c r="I73" s="53" t="n">
        <f aca="false">Assumptions!$C$125*$H$14</f>
        <v>264600</v>
      </c>
      <c r="J73" s="53" t="n">
        <f aca="false">Assumptions!$D$125*$H$14</f>
        <v>302400</v>
      </c>
      <c r="K73" s="53" t="n">
        <f aca="false">Assumptions!$E$125*$H$14</f>
        <v>340200</v>
      </c>
      <c r="N73" s="53" t="n">
        <f aca="false">Assumptions!$C$125*$M$14</f>
        <v>252000</v>
      </c>
      <c r="O73" s="53" t="n">
        <f aca="false">Assumptions!$D$125*$M$14</f>
        <v>288000</v>
      </c>
      <c r="P73" s="53" t="n">
        <f aca="false">Assumptions!$E$125*$M$14</f>
        <v>324000</v>
      </c>
    </row>
    <row r="74" customFormat="false" ht="15" hidden="false" customHeight="false" outlineLevel="0" collapsed="false">
      <c r="A74" s="10" t="s">
        <v>609</v>
      </c>
      <c r="B74" s="36" t="s">
        <v>169</v>
      </c>
      <c r="D74" s="53" t="n">
        <f aca="false">D49*Assumptions!$C$29</f>
        <v>10023.6672</v>
      </c>
      <c r="E74" s="53" t="n">
        <f aca="false">E49*Assumptions!$C$29</f>
        <v>36680.307185952</v>
      </c>
      <c r="F74" s="53" t="n">
        <f aca="false">F49*Assumptions!$C$29</f>
        <v>82407.001260187</v>
      </c>
      <c r="I74" s="53" t="n">
        <f aca="false">I49*Assumptions!$C$29</f>
        <v>6407.229312</v>
      </c>
      <c r="J74" s="53" t="n">
        <f aca="false">J49*Assumptions!$C$29</f>
        <v>22559.3840971489</v>
      </c>
      <c r="K74" s="53" t="n">
        <f aca="false">K49*Assumptions!$C$29</f>
        <v>49460.2183597493</v>
      </c>
      <c r="N74" s="53" t="n">
        <f aca="false">N49*Assumptions!$C$29</f>
        <v>13437.8143488</v>
      </c>
      <c r="O74" s="53" t="n">
        <f aca="false">O49*Assumptions!$C$29</f>
        <v>50214.9204170362</v>
      </c>
      <c r="P74" s="53" t="n">
        <f aca="false">P49*Assumptions!$C$29</f>
        <v>114262.088950925</v>
      </c>
    </row>
    <row r="75" customFormat="false" ht="15" hidden="false" customHeight="false" outlineLevel="0" collapsed="false">
      <c r="A75" s="7" t="s">
        <v>610</v>
      </c>
      <c r="B75" s="36" t="s">
        <v>169</v>
      </c>
      <c r="C75" s="52" t="n">
        <f aca="false">C62+C63+C64+C65+C66+C67+C68+C69+C70+C71+C72+C73+C74</f>
        <v>0</v>
      </c>
      <c r="D75" s="52" t="n">
        <f aca="false">D62+D63+D64+D65+D66+D67+D68+D69+D70+D71+D72+D73+D74</f>
        <v>3079684.4472</v>
      </c>
      <c r="E75" s="52" t="n">
        <f aca="false">E62+E63+E64+E65+E66+E67+E68+E69+E70+E71+E72+E73+E74</f>
        <v>3789117.21937795</v>
      </c>
      <c r="F75" s="52" t="n">
        <f aca="false">F62+F63+F64+F65+F66+F67+F68+F69+F70+F71+F72+F73+F74</f>
        <v>4520502.98406718</v>
      </c>
      <c r="H75" s="52" t="n">
        <f aca="false">H62+H63+H64+H65+H66+H67+H68+H69+H70+H71+H72+H73+H74</f>
        <v>0</v>
      </c>
      <c r="I75" s="52" t="n">
        <f aca="false">I62+I63+I64+I65+I66+I67+I68+I69+I70+I71+I72+I73+I74</f>
        <v>3208852.373112</v>
      </c>
      <c r="J75" s="52" t="n">
        <f aca="false">J62+J63+J64+J65+J66+J67+J68+J69+J70+J71+J72+J73+J74</f>
        <v>3913209.88672947</v>
      </c>
      <c r="K75" s="52" t="n">
        <f aca="false">K62+K63+K64+K65+K66+K67+K68+K69+K70+K71+K72+K73+K74</f>
        <v>4627923.10578184</v>
      </c>
      <c r="M75" s="52" t="n">
        <f aca="false">M62+M63+M64+M65+M66+M67+M68+M69+M70+M71+M72+M73+M74</f>
        <v>0</v>
      </c>
      <c r="N75" s="52" t="n">
        <f aca="false">N62+N63+N64+N65+N66+N67+N68+N69+N70+N71+N72+N73+N74</f>
        <v>3101081.9594688</v>
      </c>
      <c r="O75" s="52" t="n">
        <f aca="false">O62+O63+O64+O65+O66+O67+O68+O69+O70+O71+O72+O73+O74</f>
        <v>3845578.5747346</v>
      </c>
      <c r="P75" s="52" t="n">
        <f aca="false">P62+P63+P64+P65+P66+P67+P68+P69+P70+P71+P72+P73+P74</f>
        <v>4623199.59732394</v>
      </c>
    </row>
    <row r="76" customFormat="false" ht="15" hidden="false" customHeight="false" outlineLevel="0" collapsed="false">
      <c r="A76" s="10" t="s">
        <v>611</v>
      </c>
      <c r="B76" s="36" t="s">
        <v>169</v>
      </c>
      <c r="D76" s="53" t="n">
        <f aca="false">D75*Assumptions!$C$30</f>
        <v>153984.22236</v>
      </c>
      <c r="E76" s="53" t="n">
        <f aca="false">E75*Assumptions!$C$30</f>
        <v>189455.860968898</v>
      </c>
      <c r="F76" s="53" t="n">
        <f aca="false">F75*Assumptions!$C$30</f>
        <v>226025.149203359</v>
      </c>
      <c r="I76" s="53" t="n">
        <f aca="false">I75*Assumptions!$C$30</f>
        <v>160442.6186556</v>
      </c>
      <c r="J76" s="53" t="n">
        <f aca="false">J75*Assumptions!$C$30</f>
        <v>195660.494336473</v>
      </c>
      <c r="K76" s="53" t="n">
        <f aca="false">K75*Assumptions!$C$30</f>
        <v>231396.155289092</v>
      </c>
      <c r="N76" s="53" t="n">
        <f aca="false">N75*Assumptions!$C$30</f>
        <v>155054.09797344</v>
      </c>
      <c r="O76" s="53" t="n">
        <f aca="false">O75*Assumptions!$C$30</f>
        <v>192278.92873673</v>
      </c>
      <c r="P76" s="53" t="n">
        <f aca="false">P75*Assumptions!$C$30</f>
        <v>231159.979866197</v>
      </c>
    </row>
    <row r="77" customFormat="false" ht="15" hidden="false" customHeight="false" outlineLevel="0" collapsed="false">
      <c r="A77" s="76" t="s">
        <v>612</v>
      </c>
      <c r="B77" s="77" t="s">
        <v>169</v>
      </c>
      <c r="C77" s="79" t="n">
        <f aca="false">C75+C76</f>
        <v>0</v>
      </c>
      <c r="D77" s="79" t="n">
        <f aca="false">D75+D76</f>
        <v>3233668.66956</v>
      </c>
      <c r="E77" s="79" t="n">
        <f aca="false">E75+E76</f>
        <v>3978573.08034685</v>
      </c>
      <c r="F77" s="79" t="n">
        <f aca="false">F75+F76</f>
        <v>4746528.13327054</v>
      </c>
      <c r="H77" s="79" t="n">
        <f aca="false">H75+H76</f>
        <v>0</v>
      </c>
      <c r="I77" s="79" t="n">
        <f aca="false">I75+I76</f>
        <v>3369294.9917676</v>
      </c>
      <c r="J77" s="79" t="n">
        <f aca="false">J75+J76</f>
        <v>4108870.38106594</v>
      </c>
      <c r="K77" s="79" t="n">
        <f aca="false">K75+K76</f>
        <v>4859319.26107093</v>
      </c>
      <c r="M77" s="79" t="n">
        <f aca="false">M75+M76</f>
        <v>0</v>
      </c>
      <c r="N77" s="79" t="n">
        <f aca="false">N75+N76</f>
        <v>3256136.05744224</v>
      </c>
      <c r="O77" s="79" t="n">
        <f aca="false">O75+O76</f>
        <v>4037857.50347133</v>
      </c>
      <c r="P77" s="79" t="n">
        <f aca="false">P75+P76</f>
        <v>4854359.57719014</v>
      </c>
    </row>
    <row r="78" customFormat="false" ht="15" hidden="false" customHeight="false" outlineLevel="0" collapsed="false">
      <c r="A78" s="10" t="s">
        <v>613</v>
      </c>
      <c r="B78" s="36" t="s">
        <v>169</v>
      </c>
      <c r="C78" s="53" t="n">
        <f aca="false">Assumptions!$D$84+Assumptions!$D$85+Assumptions!$D$86+Assumptions!$D$87+Assumptions!$D$88+Assumptions!$D$89*Assumptions!$C$90*Assumptions!$C$80</f>
        <v>1590000</v>
      </c>
      <c r="H78" s="53" t="n">
        <f aca="false">Assumptions!$D$84+Assumptions!$D$85+Assumptions!$D$86+Assumptions!$D$87+Assumptions!$D$88+Assumptions!$D$89*Assumptions!$C$90*Assumptions!$C$80</f>
        <v>1590000</v>
      </c>
      <c r="M78" s="53" t="n">
        <f aca="false">Assumptions!$D$84+Assumptions!$D$85+Assumptions!$D$86+Assumptions!$D$87+Assumptions!$D$88+Assumptions!$D$89*Assumptions!$C$90*Assumptions!$C$80</f>
        <v>1590000</v>
      </c>
    </row>
    <row r="79" customFormat="false" ht="15" hidden="false" customHeight="false" outlineLevel="0" collapsed="false">
      <c r="A79" s="76" t="s">
        <v>614</v>
      </c>
      <c r="B79" s="77" t="s">
        <v>169</v>
      </c>
      <c r="C79" s="79" t="n">
        <f aca="false">C57-C77-C78</f>
        <v>-1590000</v>
      </c>
      <c r="D79" s="79" t="n">
        <f aca="false">D57-D77-D78</f>
        <v>-2775424.72716</v>
      </c>
      <c r="E79" s="79" t="n">
        <f aca="false">E57-E77-E78</f>
        <v>-2193576.35583767</v>
      </c>
      <c r="F79" s="79" t="n">
        <f aca="false">F57-F77-F78</f>
        <v>-612319.868957486</v>
      </c>
      <c r="H79" s="79" t="n">
        <f aca="false">H57-H77-H78</f>
        <v>-1590000</v>
      </c>
      <c r="I79" s="79" t="n">
        <f aca="false">I57-I77-I78</f>
        <v>-3075261.4854636</v>
      </c>
      <c r="J79" s="79" t="n">
        <f aca="false">J57-J77-J78</f>
        <v>-3017481.91723321</v>
      </c>
      <c r="K79" s="79" t="n">
        <f aca="false">K57-K77-K78</f>
        <v>-2400222.05503107</v>
      </c>
      <c r="M79" s="79" t="n">
        <f aca="false">M57-M77-M78</f>
        <v>-1590000</v>
      </c>
      <c r="N79" s="79" t="n">
        <f aca="false">N57-N77-N78</f>
        <v>-2638698.84231264</v>
      </c>
      <c r="O79" s="79" t="n">
        <f aca="false">O57-O77-O78</f>
        <v>-1574493.63175187</v>
      </c>
      <c r="P79" s="79" t="n">
        <f aca="false">P57-P77-P78</f>
        <v>927156.29472095</v>
      </c>
    </row>
    <row r="80" customFormat="false" ht="15" hidden="false" customHeight="false" outlineLevel="0" collapsed="false">
      <c r="A80" s="10" t="s">
        <v>615</v>
      </c>
      <c r="B80" s="36" t="s">
        <v>127</v>
      </c>
      <c r="D80" s="46" t="n">
        <f aca="false">IF(D49=0,0,D79/D49)</f>
        <v>-4.15330737510918</v>
      </c>
      <c r="E80" s="46" t="n">
        <f aca="false">IF(E49=0,0,E79/E49)</f>
        <v>-0.897038434568143</v>
      </c>
      <c r="F80" s="46" t="n">
        <f aca="false">IF(F49=0,0,F79/F49)</f>
        <v>-0.111456525463932</v>
      </c>
      <c r="I80" s="46" t="n">
        <f aca="false">IF(I49=0,0,I79/I49)</f>
        <v>-7.19951168214939</v>
      </c>
      <c r="J80" s="46" t="n">
        <f aca="false">IF(J49=0,0,J79/J49)</f>
        <v>-2.00635924117354</v>
      </c>
      <c r="K80" s="46" t="n">
        <f aca="false">IF(K49=0,0,K79/K49)</f>
        <v>-0.727925027819236</v>
      </c>
      <c r="N80" s="46" t="n">
        <f aca="false">IF(N49=0,0,N79/N49)</f>
        <v>-2.94545538487992</v>
      </c>
      <c r="O80" s="46" t="n">
        <f aca="false">IF(O49=0,0,O79/O49)</f>
        <v>-0.47032643445683</v>
      </c>
      <c r="P80" s="46" t="n">
        <f aca="false">IF(P49=0,0,P79/P49)</f>
        <v>0.121714424692405</v>
      </c>
    </row>
    <row r="82" customFormat="false" ht="15" hidden="false" customHeight="false" outlineLevel="0" collapsed="false">
      <c r="A82" s="4" t="s">
        <v>616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customFormat="false" ht="15" hidden="false" customHeight="false" outlineLevel="0" collapsed="false">
      <c r="A83" s="10" t="s">
        <v>617</v>
      </c>
      <c r="B83" s="36" t="s">
        <v>169</v>
      </c>
      <c r="D83" s="53" t="n">
        <f aca="false">MAX(0,D61-C61)*Assumptions!$C$27</f>
        <v>56000</v>
      </c>
      <c r="E83" s="53" t="n">
        <f aca="false">MAX(0,E61-D61)*Assumptions!$C$27</f>
        <v>24000</v>
      </c>
      <c r="F83" s="53" t="n">
        <f aca="false">MAX(0,F61-E61)*Assumptions!$C$27</f>
        <v>20000</v>
      </c>
      <c r="I83" s="53" t="n">
        <f aca="false">MAX(0,I61-H61)*Assumptions!$C$27</f>
        <v>56000</v>
      </c>
      <c r="J83" s="53" t="n">
        <f aca="false">MAX(0,J61-I61)*Assumptions!$C$27</f>
        <v>24000</v>
      </c>
      <c r="K83" s="53" t="n">
        <f aca="false">MAX(0,K61-J61)*Assumptions!$C$27</f>
        <v>20000</v>
      </c>
      <c r="N83" s="53" t="n">
        <f aca="false">MAX(0,N61-M61)*Assumptions!$C$27</f>
        <v>56000</v>
      </c>
      <c r="O83" s="53" t="n">
        <f aca="false">MAX(0,O61-N61)*Assumptions!$C$27</f>
        <v>24000</v>
      </c>
      <c r="P83" s="53" t="n">
        <f aca="false">MAX(0,P61-O61)*Assumptions!$C$27</f>
        <v>20000</v>
      </c>
    </row>
    <row r="84" customFormat="false" ht="15" hidden="false" customHeight="false" outlineLevel="0" collapsed="false">
      <c r="A84" s="10" t="s">
        <v>618</v>
      </c>
      <c r="B84" s="36" t="s">
        <v>169</v>
      </c>
      <c r="C84" s="53" t="n">
        <v>0</v>
      </c>
      <c r="D84" s="53" t="n">
        <f aca="false">C84+D83</f>
        <v>56000</v>
      </c>
      <c r="E84" s="53" t="n">
        <f aca="false">D84+E83</f>
        <v>80000</v>
      </c>
      <c r="F84" s="53" t="n">
        <f aca="false">E84+F83</f>
        <v>100000</v>
      </c>
      <c r="H84" s="53" t="n">
        <v>0</v>
      </c>
      <c r="I84" s="53" t="n">
        <f aca="false">H84+I83</f>
        <v>56000</v>
      </c>
      <c r="J84" s="53" t="n">
        <f aca="false">I84+J83</f>
        <v>80000</v>
      </c>
      <c r="K84" s="53" t="n">
        <f aca="false">J84+K83</f>
        <v>100000</v>
      </c>
      <c r="M84" s="53" t="n">
        <v>0</v>
      </c>
      <c r="N84" s="53" t="n">
        <f aca="false">M84+N83</f>
        <v>56000</v>
      </c>
      <c r="O84" s="53" t="n">
        <f aca="false">N84+O83</f>
        <v>80000</v>
      </c>
      <c r="P84" s="53" t="n">
        <f aca="false">O84+P83</f>
        <v>100000</v>
      </c>
    </row>
    <row r="85" customFormat="false" ht="15" hidden="false" customHeight="false" outlineLevel="0" collapsed="false">
      <c r="A85" s="10" t="s">
        <v>619</v>
      </c>
      <c r="B85" s="36" t="s">
        <v>169</v>
      </c>
      <c r="D85" s="53" t="n">
        <f aca="false">D84/Assumptions!$C$28</f>
        <v>18666.6666666667</v>
      </c>
      <c r="E85" s="53" t="n">
        <f aca="false">E84/Assumptions!$C$28</f>
        <v>26666.6666666667</v>
      </c>
      <c r="F85" s="53" t="n">
        <f aca="false">F84/Assumptions!$C$28</f>
        <v>33333.3333333333</v>
      </c>
      <c r="I85" s="53" t="n">
        <f aca="false">I84/Assumptions!$C$28</f>
        <v>18666.6666666667</v>
      </c>
      <c r="J85" s="53" t="n">
        <f aca="false">J84/Assumptions!$C$28</f>
        <v>26666.6666666667</v>
      </c>
      <c r="K85" s="53" t="n">
        <f aca="false">K84/Assumptions!$C$28</f>
        <v>33333.3333333333</v>
      </c>
      <c r="N85" s="53" t="n">
        <f aca="false">N84/Assumptions!$C$28</f>
        <v>18666.6666666667</v>
      </c>
      <c r="O85" s="53" t="n">
        <f aca="false">O84/Assumptions!$C$28</f>
        <v>26666.6666666667</v>
      </c>
      <c r="P85" s="53" t="n">
        <f aca="false">P84/Assumptions!$C$28</f>
        <v>33333.3333333333</v>
      </c>
    </row>
    <row r="86" customFormat="false" ht="15" hidden="false" customHeight="false" outlineLevel="0" collapsed="false">
      <c r="A86" s="7" t="s">
        <v>620</v>
      </c>
      <c r="B86" s="36" t="s">
        <v>169</v>
      </c>
      <c r="C86" s="52" t="n">
        <f aca="false">C79-C85</f>
        <v>-1590000</v>
      </c>
      <c r="D86" s="52" t="n">
        <f aca="false">D79-D85</f>
        <v>-2794091.39382667</v>
      </c>
      <c r="E86" s="52" t="n">
        <f aca="false">E79-E85</f>
        <v>-2220243.02250433</v>
      </c>
      <c r="F86" s="52" t="n">
        <f aca="false">F79-F85</f>
        <v>-645653.202290819</v>
      </c>
      <c r="H86" s="52" t="n">
        <f aca="false">H79-H85</f>
        <v>-1590000</v>
      </c>
      <c r="I86" s="52" t="n">
        <f aca="false">I79-I85</f>
        <v>-3093928.15213027</v>
      </c>
      <c r="J86" s="52" t="n">
        <f aca="false">J79-J85</f>
        <v>-3044148.58389987</v>
      </c>
      <c r="K86" s="52" t="n">
        <f aca="false">K79-K85</f>
        <v>-2433555.3883644</v>
      </c>
      <c r="M86" s="52" t="n">
        <f aca="false">M79-M85</f>
        <v>-1590000</v>
      </c>
      <c r="N86" s="52" t="n">
        <f aca="false">N79-N85</f>
        <v>-2657365.50897931</v>
      </c>
      <c r="O86" s="52" t="n">
        <f aca="false">O79-O85</f>
        <v>-1601160.29841854</v>
      </c>
      <c r="P86" s="52" t="n">
        <f aca="false">P79-P85</f>
        <v>893822.961387616</v>
      </c>
    </row>
    <row r="87" customFormat="false" ht="15" hidden="false" customHeight="false" outlineLevel="0" collapsed="false">
      <c r="A87" s="10" t="s">
        <v>621</v>
      </c>
      <c r="B87" s="36" t="s">
        <v>127</v>
      </c>
      <c r="D87" s="46" t="n">
        <f aca="false">IF(Assumptions!$C$16=1,Assumptions!$C$17,Assumptions!$C$15)</f>
        <v>0.24</v>
      </c>
      <c r="E87" s="46" t="n">
        <f aca="false">IF(Assumptions!$C$16=1,Assumptions!$C$17,Assumptions!$C$15)</f>
        <v>0.24</v>
      </c>
      <c r="F87" s="46" t="n">
        <f aca="false">IF(Assumptions!$C$16=1,Assumptions!$C$17,Assumptions!$C$15)</f>
        <v>0.24</v>
      </c>
      <c r="I87" s="46" t="n">
        <f aca="false">IF(Assumptions!$C$16=1,Assumptions!$C$17,Assumptions!$C$15)</f>
        <v>0.24</v>
      </c>
      <c r="J87" s="46" t="n">
        <f aca="false">IF(Assumptions!$C$16=1,Assumptions!$C$17,Assumptions!$C$15)</f>
        <v>0.24</v>
      </c>
      <c r="K87" s="46" t="n">
        <f aca="false">IF(Assumptions!$C$16=1,Assumptions!$C$17,Assumptions!$C$15)</f>
        <v>0.24</v>
      </c>
      <c r="N87" s="46" t="n">
        <f aca="false">IF(Assumptions!$C$16=1,Assumptions!$C$17,Assumptions!$C$15)</f>
        <v>0.24</v>
      </c>
      <c r="O87" s="46" t="n">
        <f aca="false">IF(Assumptions!$C$16=1,Assumptions!$C$17,Assumptions!$C$15)</f>
        <v>0.24</v>
      </c>
      <c r="P87" s="46" t="n">
        <f aca="false">IF(Assumptions!$C$16=1,Assumptions!$C$17,Assumptions!$C$15)</f>
        <v>0.24</v>
      </c>
    </row>
    <row r="88" customFormat="false" ht="15" hidden="false" customHeight="false" outlineLevel="0" collapsed="false">
      <c r="A88" s="10" t="s">
        <v>622</v>
      </c>
      <c r="B88" s="36" t="s">
        <v>169</v>
      </c>
      <c r="D88" s="53" t="n">
        <f aca="false">C91</f>
        <v>1590000</v>
      </c>
      <c r="E88" s="53" t="n">
        <f aca="false">D91</f>
        <v>4384091.39382667</v>
      </c>
      <c r="F88" s="53" t="n">
        <f aca="false">E91</f>
        <v>6604334.416331</v>
      </c>
      <c r="I88" s="53" t="n">
        <f aca="false">H91</f>
        <v>1590000</v>
      </c>
      <c r="J88" s="53" t="n">
        <f aca="false">I91</f>
        <v>4683928.15213027</v>
      </c>
      <c r="K88" s="53" t="n">
        <f aca="false">J91</f>
        <v>7728076.73603014</v>
      </c>
      <c r="N88" s="53" t="n">
        <f aca="false">M91</f>
        <v>1590000</v>
      </c>
      <c r="O88" s="53" t="n">
        <f aca="false">N91</f>
        <v>4247365.50897931</v>
      </c>
      <c r="P88" s="53" t="n">
        <f aca="false">O91</f>
        <v>5848525.80739785</v>
      </c>
    </row>
    <row r="89" customFormat="false" ht="15" hidden="false" customHeight="false" outlineLevel="0" collapsed="false">
      <c r="A89" s="10" t="s">
        <v>623</v>
      </c>
      <c r="B89" s="36" t="s">
        <v>169</v>
      </c>
      <c r="D89" s="53" t="n">
        <f aca="false">MIN(D88,MAX(D86,0))</f>
        <v>0</v>
      </c>
      <c r="E89" s="53" t="n">
        <f aca="false">MIN(E88,MAX(E86,0))</f>
        <v>0</v>
      </c>
      <c r="F89" s="53" t="n">
        <f aca="false">MIN(F88,MAX(F86,0))</f>
        <v>0</v>
      </c>
      <c r="I89" s="53" t="n">
        <f aca="false">MIN(I88,MAX(I86,0))</f>
        <v>0</v>
      </c>
      <c r="J89" s="53" t="n">
        <f aca="false">MIN(J88,MAX(J86,0))</f>
        <v>0</v>
      </c>
      <c r="K89" s="53" t="n">
        <f aca="false">MIN(K88,MAX(K86,0))</f>
        <v>0</v>
      </c>
      <c r="N89" s="53" t="n">
        <f aca="false">MIN(N88,MAX(N86,0))</f>
        <v>0</v>
      </c>
      <c r="O89" s="53" t="n">
        <f aca="false">MIN(O88,MAX(O86,0))</f>
        <v>0</v>
      </c>
      <c r="P89" s="53" t="n">
        <f aca="false">MIN(P88,MAX(P86,0))</f>
        <v>893822.961387616</v>
      </c>
    </row>
    <row r="90" customFormat="false" ht="15" hidden="false" customHeight="false" outlineLevel="0" collapsed="false">
      <c r="A90" s="10" t="s">
        <v>624</v>
      </c>
      <c r="B90" s="36" t="s">
        <v>169</v>
      </c>
      <c r="D90" s="53" t="n">
        <f aca="false">MAX(-D86,0)</f>
        <v>2794091.39382667</v>
      </c>
      <c r="E90" s="53" t="n">
        <f aca="false">MAX(-E86,0)</f>
        <v>2220243.02250433</v>
      </c>
      <c r="F90" s="53" t="n">
        <f aca="false">MAX(-F86,0)</f>
        <v>645653.202290819</v>
      </c>
      <c r="I90" s="53" t="n">
        <f aca="false">MAX(-I86,0)</f>
        <v>3093928.15213027</v>
      </c>
      <c r="J90" s="53" t="n">
        <f aca="false">MAX(-J86,0)</f>
        <v>3044148.58389987</v>
      </c>
      <c r="K90" s="53" t="n">
        <f aca="false">MAX(-K86,0)</f>
        <v>2433555.3883644</v>
      </c>
      <c r="N90" s="53" t="n">
        <f aca="false">MAX(-N86,0)</f>
        <v>2657365.50897931</v>
      </c>
      <c r="O90" s="53" t="n">
        <f aca="false">MAX(-O86,0)</f>
        <v>1601160.29841854</v>
      </c>
      <c r="P90" s="53" t="n">
        <f aca="false">MAX(-P86,0)</f>
        <v>0</v>
      </c>
    </row>
    <row r="91" customFormat="false" ht="15" hidden="false" customHeight="false" outlineLevel="0" collapsed="false">
      <c r="A91" s="10" t="s">
        <v>625</v>
      </c>
      <c r="B91" s="36" t="s">
        <v>169</v>
      </c>
      <c r="C91" s="53" t="n">
        <f aca="false">MAX(-C86,0)</f>
        <v>1590000</v>
      </c>
      <c r="D91" s="53" t="n">
        <f aca="false">D88-D89+D90</f>
        <v>4384091.39382667</v>
      </c>
      <c r="E91" s="53" t="n">
        <f aca="false">E88-E89+E90</f>
        <v>6604334.416331</v>
      </c>
      <c r="F91" s="53" t="n">
        <f aca="false">F88-F89+F90</f>
        <v>7249987.61862182</v>
      </c>
      <c r="H91" s="53" t="n">
        <f aca="false">MAX(-H86,0)</f>
        <v>1590000</v>
      </c>
      <c r="I91" s="53" t="n">
        <f aca="false">I88-I89+I90</f>
        <v>4683928.15213027</v>
      </c>
      <c r="J91" s="53" t="n">
        <f aca="false">J88-J89+J90</f>
        <v>7728076.73603014</v>
      </c>
      <c r="K91" s="53" t="n">
        <f aca="false">K88-K89+K90</f>
        <v>10161632.1243945</v>
      </c>
      <c r="M91" s="53" t="n">
        <f aca="false">MAX(-M86,0)</f>
        <v>1590000</v>
      </c>
      <c r="N91" s="53" t="n">
        <f aca="false">N88-N89+N90</f>
        <v>4247365.50897931</v>
      </c>
      <c r="O91" s="53" t="n">
        <f aca="false">O88-O89+O90</f>
        <v>5848525.80739785</v>
      </c>
      <c r="P91" s="53" t="n">
        <f aca="false">P88-P89+P90</f>
        <v>4954702.84601023</v>
      </c>
    </row>
    <row r="92" customFormat="false" ht="15" hidden="false" customHeight="false" outlineLevel="0" collapsed="false">
      <c r="A92" s="10" t="s">
        <v>626</v>
      </c>
      <c r="B92" s="36" t="s">
        <v>169</v>
      </c>
      <c r="D92" s="53" t="n">
        <f aca="false">MAX(D86,0)-D89</f>
        <v>0</v>
      </c>
      <c r="E92" s="53" t="n">
        <f aca="false">MAX(E86,0)-E89</f>
        <v>0</v>
      </c>
      <c r="F92" s="53" t="n">
        <f aca="false">MAX(F86,0)-F89</f>
        <v>0</v>
      </c>
      <c r="I92" s="53" t="n">
        <f aca="false">MAX(I86,0)-I89</f>
        <v>0</v>
      </c>
      <c r="J92" s="53" t="n">
        <f aca="false">MAX(J86,0)-J89</f>
        <v>0</v>
      </c>
      <c r="K92" s="53" t="n">
        <f aca="false">MAX(K86,0)-K89</f>
        <v>0</v>
      </c>
      <c r="N92" s="53" t="n">
        <f aca="false">MAX(N86,0)-N89</f>
        <v>0</v>
      </c>
      <c r="O92" s="53" t="n">
        <f aca="false">MAX(O86,0)-O89</f>
        <v>0</v>
      </c>
      <c r="P92" s="53" t="n">
        <f aca="false">MAX(P86,0)-P89</f>
        <v>0</v>
      </c>
    </row>
    <row r="93" customFormat="false" ht="15" hidden="false" customHeight="false" outlineLevel="0" collapsed="false">
      <c r="A93" s="10" t="s">
        <v>627</v>
      </c>
      <c r="B93" s="36" t="s">
        <v>169</v>
      </c>
      <c r="D93" s="53" t="n">
        <f aca="false">D92*D87</f>
        <v>0</v>
      </c>
      <c r="E93" s="53" t="n">
        <f aca="false">E92*E87</f>
        <v>0</v>
      </c>
      <c r="F93" s="53" t="n">
        <f aca="false">F92*F87</f>
        <v>0</v>
      </c>
      <c r="I93" s="53" t="n">
        <f aca="false">I92*I87</f>
        <v>0</v>
      </c>
      <c r="J93" s="53" t="n">
        <f aca="false">J92*J87</f>
        <v>0</v>
      </c>
      <c r="K93" s="53" t="n">
        <f aca="false">K92*K87</f>
        <v>0</v>
      </c>
      <c r="N93" s="53" t="n">
        <f aca="false">N92*N87</f>
        <v>0</v>
      </c>
      <c r="O93" s="53" t="n">
        <f aca="false">O92*O87</f>
        <v>0</v>
      </c>
      <c r="P93" s="53" t="n">
        <f aca="false">P92*P87</f>
        <v>0</v>
      </c>
    </row>
    <row r="94" customFormat="false" ht="15" hidden="false" customHeight="false" outlineLevel="0" collapsed="false">
      <c r="A94" s="76" t="s">
        <v>628</v>
      </c>
      <c r="B94" s="77" t="s">
        <v>169</v>
      </c>
      <c r="C94" s="79" t="n">
        <f aca="false">C86-C93</f>
        <v>-1590000</v>
      </c>
      <c r="D94" s="79" t="n">
        <f aca="false">D86-D93</f>
        <v>-2794091.39382667</v>
      </c>
      <c r="E94" s="79" t="n">
        <f aca="false">E86-E93</f>
        <v>-2220243.02250433</v>
      </c>
      <c r="F94" s="79" t="n">
        <f aca="false">F86-F93</f>
        <v>-645653.202290819</v>
      </c>
      <c r="H94" s="79" t="n">
        <f aca="false">H86-H93</f>
        <v>-1590000</v>
      </c>
      <c r="I94" s="79" t="n">
        <f aca="false">I86-I93</f>
        <v>-3093928.15213027</v>
      </c>
      <c r="J94" s="79" t="n">
        <f aca="false">J86-J93</f>
        <v>-3044148.58389987</v>
      </c>
      <c r="K94" s="79" t="n">
        <f aca="false">K86-K93</f>
        <v>-2433555.3883644</v>
      </c>
      <c r="M94" s="79" t="n">
        <f aca="false">M86-M93</f>
        <v>-1590000</v>
      </c>
      <c r="N94" s="79" t="n">
        <f aca="false">N86-N93</f>
        <v>-2657365.50897931</v>
      </c>
      <c r="O94" s="79" t="n">
        <f aca="false">O86-O93</f>
        <v>-1601160.29841854</v>
      </c>
      <c r="P94" s="79" t="n">
        <f aca="false">P86-P93</f>
        <v>893822.961387616</v>
      </c>
    </row>
    <row r="96" customFormat="false" ht="15" hidden="false" customHeight="false" outlineLevel="0" collapsed="false">
      <c r="A96" s="4" t="s">
        <v>629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customFormat="false" ht="15" hidden="false" customHeight="false" outlineLevel="0" collapsed="false">
      <c r="A97" s="10" t="s">
        <v>630</v>
      </c>
      <c r="B97" s="36" t="s">
        <v>169</v>
      </c>
      <c r="C97" s="53" t="n">
        <v>0</v>
      </c>
      <c r="D97" s="53" t="n">
        <f aca="false">D49*Assumptions!$C$24/365</f>
        <v>109848.407671233</v>
      </c>
      <c r="E97" s="53" t="n">
        <f aca="false">E49*Assumptions!$C$24/365</f>
        <v>401975.969161118</v>
      </c>
      <c r="F97" s="53" t="n">
        <f aca="false">F49*Assumptions!$C$24/365</f>
        <v>903090.424769172</v>
      </c>
      <c r="H97" s="53" t="n">
        <v>0</v>
      </c>
      <c r="I97" s="53" t="n">
        <f aca="false">I49*Assumptions!$C$24/365</f>
        <v>70216.2116383562</v>
      </c>
      <c r="J97" s="53" t="n">
        <f aca="false">J49*Assumptions!$C$24/365</f>
        <v>247226.127092043</v>
      </c>
      <c r="K97" s="53" t="n">
        <f aca="false">K49*Assumptions!$C$24/365</f>
        <v>542029.790243828</v>
      </c>
      <c r="M97" s="53" t="n">
        <v>0</v>
      </c>
      <c r="N97" s="53" t="n">
        <f aca="false">N49*Assumptions!$C$24/365</f>
        <v>147263.718890959</v>
      </c>
      <c r="O97" s="53" t="n">
        <f aca="false">O49*Assumptions!$C$24/365</f>
        <v>550300.497720945</v>
      </c>
      <c r="P97" s="53" t="n">
        <f aca="false">P49*Assumptions!$C$24/365</f>
        <v>1252187.27617452</v>
      </c>
    </row>
    <row r="98" customFormat="false" ht="15" hidden="false" customHeight="false" outlineLevel="0" collapsed="false">
      <c r="A98" s="10" t="s">
        <v>631</v>
      </c>
      <c r="B98" s="36" t="s">
        <v>169</v>
      </c>
      <c r="C98" s="53" t="n">
        <v>0</v>
      </c>
      <c r="D98" s="53" t="n">
        <f aca="false">D46*Assumptions!$C$25</f>
        <v>108501.12</v>
      </c>
      <c r="E98" s="53" t="n">
        <f aca="false">E46*Assumptions!$C$25</f>
        <v>479578.4530992</v>
      </c>
      <c r="F98" s="53" t="n">
        <f aca="false">F46*Assumptions!$C$25</f>
        <v>1168490.02100312</v>
      </c>
      <c r="H98" s="53" t="n">
        <v>0</v>
      </c>
      <c r="I98" s="53" t="n">
        <f aca="false">I46*Assumptions!$C$25</f>
        <v>63473.1552</v>
      </c>
      <c r="J98" s="53" t="n">
        <f aca="false">J46*Assumptions!$C$25</f>
        <v>278533.234952482</v>
      </c>
      <c r="K98" s="53" t="n">
        <f aca="false">K46*Assumptions!$C$25</f>
        <v>672737.972662489</v>
      </c>
      <c r="M98" s="53" t="n">
        <v>0</v>
      </c>
      <c r="N98" s="53" t="n">
        <f aca="false">N46*Assumptions!$C$25</f>
        <v>152335.57248</v>
      </c>
      <c r="O98" s="53" t="n">
        <f aca="false">O46*Assumptions!$C$25</f>
        <v>675752.340283937</v>
      </c>
      <c r="P98" s="53" t="n">
        <f aca="false">P46*Assumptions!$C$25</f>
        <v>1653670.14918209</v>
      </c>
    </row>
    <row r="99" customFormat="false" ht="15" hidden="false" customHeight="false" outlineLevel="0" collapsed="false">
      <c r="A99" s="10" t="s">
        <v>632</v>
      </c>
      <c r="B99" s="36" t="s">
        <v>169</v>
      </c>
      <c r="C99" s="53" t="n">
        <v>0</v>
      </c>
      <c r="D99" s="53" t="n">
        <f aca="false">(D53+D71+D72+D73)*Assumptions!$C$26/365</f>
        <v>70707.9893917808</v>
      </c>
      <c r="E99" s="53" t="n">
        <f aca="false">(E53+E71+E72+E73)*Assumptions!$C$26/365</f>
        <v>112835.971848297</v>
      </c>
      <c r="F99" s="53" t="n">
        <f aca="false">(F53+F71+F72+F73)*Assumptions!$C$26/365</f>
        <v>163307.441924507</v>
      </c>
      <c r="H99" s="53" t="n">
        <v>0</v>
      </c>
      <c r="I99" s="53" t="n">
        <f aca="false">(I53+I71+I72+I73)*Assumptions!$C$26/365</f>
        <v>72252.9135202192</v>
      </c>
      <c r="J99" s="53" t="n">
        <f aca="false">(J53+J71+J72+J73)*Assumptions!$C$26/365</f>
        <v>109600.105707714</v>
      </c>
      <c r="K99" s="53" t="n">
        <f aca="false">(K53+K71+K72+K73)*Assumptions!$C$26/365</f>
        <v>149609.410428328</v>
      </c>
      <c r="M99" s="53" t="n">
        <v>0</v>
      </c>
      <c r="N99" s="53" t="n">
        <f aca="false">(N53+N71+N72+N73)*Assumptions!$C$26/365</f>
        <v>72437.3486129096</v>
      </c>
      <c r="O99" s="53" t="n">
        <f aca="false">(O53+O71+O72+O73)*Assumptions!$C$26/365</f>
        <v>120575.434794764</v>
      </c>
      <c r="P99" s="53" t="n">
        <f aca="false">(P53+P71+P72+P73)*Assumptions!$C$26/365</f>
        <v>182448.794926636</v>
      </c>
    </row>
    <row r="100" customFormat="false" ht="15" hidden="false" customHeight="false" outlineLevel="0" collapsed="false">
      <c r="A100" s="10" t="s">
        <v>633</v>
      </c>
      <c r="B100" s="36" t="s">
        <v>169</v>
      </c>
      <c r="C100" s="53" t="n">
        <f aca="false">C97-C98-C99</f>
        <v>0</v>
      </c>
      <c r="D100" s="53" t="n">
        <f aca="false">D97-D98-D99</f>
        <v>-69360.701720548</v>
      </c>
      <c r="E100" s="53" t="n">
        <f aca="false">E97-E98-E99</f>
        <v>-190438.455786379</v>
      </c>
      <c r="F100" s="53" t="n">
        <f aca="false">F97-F98-F99</f>
        <v>-428707.03815845</v>
      </c>
      <c r="H100" s="53" t="n">
        <f aca="false">H97-H98-H99</f>
        <v>0</v>
      </c>
      <c r="I100" s="53" t="n">
        <f aca="false">I97-I98-I99</f>
        <v>-65509.857081863</v>
      </c>
      <c r="J100" s="53" t="n">
        <f aca="false">J97-J98-J99</f>
        <v>-140907.213568153</v>
      </c>
      <c r="K100" s="53" t="n">
        <f aca="false">K97-K98-K99</f>
        <v>-280317.592846989</v>
      </c>
      <c r="M100" s="53" t="n">
        <f aca="false">M97-M98-M99</f>
        <v>0</v>
      </c>
      <c r="N100" s="53" t="n">
        <f aca="false">N97-N98-N99</f>
        <v>-77509.2022019507</v>
      </c>
      <c r="O100" s="53" t="n">
        <f aca="false">O97-O98-O99</f>
        <v>-246027.277357756</v>
      </c>
      <c r="P100" s="53" t="n">
        <f aca="false">P97-P98-P99</f>
        <v>-583931.667934199</v>
      </c>
    </row>
    <row r="101" customFormat="false" ht="15" hidden="false" customHeight="false" outlineLevel="0" collapsed="false">
      <c r="A101" s="10" t="s">
        <v>634</v>
      </c>
      <c r="B101" s="36" t="s">
        <v>169</v>
      </c>
      <c r="D101" s="53" t="n">
        <f aca="false">D100-C100</f>
        <v>-69360.701720548</v>
      </c>
      <c r="E101" s="53" t="n">
        <f aca="false">E100-D100</f>
        <v>-121077.754065831</v>
      </c>
      <c r="F101" s="53" t="n">
        <f aca="false">F100-E100</f>
        <v>-238268.582372071</v>
      </c>
      <c r="I101" s="53" t="n">
        <f aca="false">I100-H100</f>
        <v>-65509.857081863</v>
      </c>
      <c r="J101" s="53" t="n">
        <f aca="false">J100-I100</f>
        <v>-75397.3564862903</v>
      </c>
      <c r="K101" s="53" t="n">
        <f aca="false">K100-J100</f>
        <v>-139410.379278836</v>
      </c>
      <c r="N101" s="53" t="n">
        <f aca="false">N100-M100</f>
        <v>-77509.2022019507</v>
      </c>
      <c r="O101" s="53" t="n">
        <f aca="false">O100-N100</f>
        <v>-168518.075155805</v>
      </c>
      <c r="P101" s="53" t="n">
        <f aca="false">P100-O100</f>
        <v>-337904.390576444</v>
      </c>
    </row>
    <row r="102" customFormat="false" ht="15" hidden="false" customHeight="false" outlineLevel="0" collapsed="false">
      <c r="A102" s="76" t="s">
        <v>635</v>
      </c>
      <c r="B102" s="77" t="s">
        <v>169</v>
      </c>
      <c r="C102" s="79" t="n">
        <f aca="false">C79-C93-C101-C83</f>
        <v>-1590000</v>
      </c>
      <c r="D102" s="79" t="n">
        <f aca="false">D79-D93-D101-D83</f>
        <v>-2762064.02543945</v>
      </c>
      <c r="E102" s="79" t="n">
        <f aca="false">E79-E93-E101-E83</f>
        <v>-2096498.60177183</v>
      </c>
      <c r="F102" s="79" t="n">
        <f aca="false">F79-F93-F101-F83</f>
        <v>-394051.286585415</v>
      </c>
      <c r="H102" s="79" t="n">
        <f aca="false">H79-H93-H101-H83</f>
        <v>-1590000</v>
      </c>
      <c r="I102" s="79" t="n">
        <f aca="false">I79-I93-I101-I83</f>
        <v>-3065751.62838174</v>
      </c>
      <c r="J102" s="79" t="n">
        <f aca="false">J79-J93-J101-J83</f>
        <v>-2966084.56074692</v>
      </c>
      <c r="K102" s="79" t="n">
        <f aca="false">K79-K93-K101-K83</f>
        <v>-2280811.67575223</v>
      </c>
      <c r="M102" s="79" t="n">
        <f aca="false">M79-M93-M101-M83</f>
        <v>-1590000</v>
      </c>
      <c r="N102" s="79" t="n">
        <f aca="false">N79-N93-N101-N83</f>
        <v>-2617189.64011069</v>
      </c>
      <c r="O102" s="79" t="n">
        <f aca="false">O79-O93-O101-O83</f>
        <v>-1429975.55659607</v>
      </c>
      <c r="P102" s="79" t="n">
        <f aca="false">P79-P93-P101-P83</f>
        <v>1245060.68529739</v>
      </c>
    </row>
    <row r="103" customFormat="false" ht="15" hidden="false" customHeight="false" outlineLevel="0" collapsed="false">
      <c r="A103" s="7" t="s">
        <v>104</v>
      </c>
      <c r="B103" s="36" t="s">
        <v>169</v>
      </c>
      <c r="C103" s="52" t="n">
        <f aca="false">C102</f>
        <v>-1590000</v>
      </c>
      <c r="D103" s="52" t="n">
        <f aca="false">C103+D102</f>
        <v>-4352064.02543945</v>
      </c>
      <c r="E103" s="52" t="n">
        <f aca="false">D103+E102</f>
        <v>-6448562.62721129</v>
      </c>
      <c r="F103" s="52" t="n">
        <f aca="false">E103+F102</f>
        <v>-6842613.9137967</v>
      </c>
      <c r="H103" s="52" t="n">
        <f aca="false">H102</f>
        <v>-1590000</v>
      </c>
      <c r="I103" s="52" t="n">
        <f aca="false">H103+I102</f>
        <v>-4655751.62838174</v>
      </c>
      <c r="J103" s="52" t="n">
        <f aca="false">I103+J102</f>
        <v>-7621836.18912865</v>
      </c>
      <c r="K103" s="52" t="n">
        <f aca="false">J103+K102</f>
        <v>-9902647.86488088</v>
      </c>
      <c r="M103" s="52" t="n">
        <f aca="false">M102</f>
        <v>-1590000</v>
      </c>
      <c r="N103" s="52" t="n">
        <f aca="false">M103+N102</f>
        <v>-4207189.64011069</v>
      </c>
      <c r="O103" s="52" t="n">
        <f aca="false">N103+O102</f>
        <v>-5637165.19670676</v>
      </c>
      <c r="P103" s="52" t="n">
        <f aca="false">O103+P102</f>
        <v>-4392104.51140937</v>
      </c>
    </row>
    <row r="105" customFormat="false" ht="15" hidden="false" customHeight="false" outlineLevel="0" collapsed="false">
      <c r="A105" s="4" t="s">
        <v>636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customFormat="false" ht="15" hidden="false" customHeight="false" outlineLevel="0" collapsed="false">
      <c r="A106" s="10" t="s">
        <v>637</v>
      </c>
      <c r="B106" s="36" t="s">
        <v>137</v>
      </c>
      <c r="C106" s="54" t="n">
        <f aca="false">1/(1+Assumptions!$C$8)^0</f>
        <v>1</v>
      </c>
      <c r="D106" s="54" t="n">
        <f aca="false">1/(1+Assumptions!$C$8)^1</f>
        <v>0.892857142857143</v>
      </c>
      <c r="E106" s="54" t="n">
        <f aca="false">1/(1+Assumptions!$C$8)^2</f>
        <v>0.79719387755102</v>
      </c>
      <c r="F106" s="54" t="n">
        <f aca="false">1/(1+Assumptions!$C$8)^3</f>
        <v>0.711780247813411</v>
      </c>
      <c r="H106" s="54" t="n">
        <f aca="false">1/(1+Assumptions!$C$8)^0</f>
        <v>1</v>
      </c>
      <c r="I106" s="54" t="n">
        <f aca="false">1/(1+Assumptions!$C$8)^1</f>
        <v>0.892857142857143</v>
      </c>
      <c r="J106" s="54" t="n">
        <f aca="false">1/(1+Assumptions!$C$8)^2</f>
        <v>0.79719387755102</v>
      </c>
      <c r="K106" s="54" t="n">
        <f aca="false">1/(1+Assumptions!$C$8)^3</f>
        <v>0.711780247813411</v>
      </c>
      <c r="M106" s="54" t="n">
        <f aca="false">1/(1+Assumptions!$C$8)^0</f>
        <v>1</v>
      </c>
      <c r="N106" s="54" t="n">
        <f aca="false">1/(1+Assumptions!$C$8)^1</f>
        <v>0.892857142857143</v>
      </c>
      <c r="O106" s="54" t="n">
        <f aca="false">1/(1+Assumptions!$C$8)^2</f>
        <v>0.79719387755102</v>
      </c>
      <c r="P106" s="54" t="n">
        <f aca="false">1/(1+Assumptions!$C$8)^3</f>
        <v>0.711780247813411</v>
      </c>
    </row>
    <row r="107" customFormat="false" ht="15" hidden="false" customHeight="false" outlineLevel="0" collapsed="false">
      <c r="A107" s="10" t="s">
        <v>638</v>
      </c>
      <c r="B107" s="36" t="s">
        <v>169</v>
      </c>
      <c r="C107" s="53" t="n">
        <f aca="false">C102*C106</f>
        <v>-1590000</v>
      </c>
      <c r="D107" s="53" t="n">
        <f aca="false">D102*D106</f>
        <v>-2466128.59414237</v>
      </c>
      <c r="E107" s="53" t="n">
        <f aca="false">E102*E106</f>
        <v>-1671315.84962678</v>
      </c>
      <c r="F107" s="53" t="n">
        <f aca="false">F102*F106</f>
        <v>-280477.92241696</v>
      </c>
      <c r="H107" s="53" t="n">
        <f aca="false">H102*H106</f>
        <v>-1590000</v>
      </c>
      <c r="I107" s="53" t="n">
        <f aca="false">I102*I106</f>
        <v>-2737278.23962655</v>
      </c>
      <c r="J107" s="53" t="n">
        <f aca="false">J102*J106</f>
        <v>-2364544.45212605</v>
      </c>
      <c r="K107" s="53" t="n">
        <f aca="false">K102*K106</f>
        <v>-1623436.69978264</v>
      </c>
      <c r="M107" s="53" t="n">
        <f aca="false">M102*M106</f>
        <v>-1590000</v>
      </c>
      <c r="N107" s="53" t="n">
        <f aca="false">N102*N106</f>
        <v>-2336776.46438454</v>
      </c>
      <c r="O107" s="53" t="n">
        <f aca="false">O102*O106</f>
        <v>-1139967.758766</v>
      </c>
      <c r="P107" s="53" t="n">
        <f aca="false">P102*P106</f>
        <v>886209.603123714</v>
      </c>
    </row>
    <row r="109" customFormat="false" ht="15" hidden="false" customHeight="false" outlineLevel="0" collapsed="false">
      <c r="A109" s="4" t="s">
        <v>639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customFormat="false" ht="15" hidden="false" customHeight="false" outlineLevel="0" collapsed="false">
      <c r="A110" s="10" t="s">
        <v>640</v>
      </c>
      <c r="B110" s="36" t="s">
        <v>169</v>
      </c>
      <c r="F110" s="53" t="n">
        <f aca="false">F50*Assumptions!$D$69*(1-Assumptions!$C$15)*(1-Assumptions!$C$14)</f>
        <v>1112316.93516422</v>
      </c>
      <c r="K110" s="53" t="n">
        <f aca="false">K50*Assumptions!$D$69*(1-Assumptions!$C$15)*(1-Assumptions!$C$14)</f>
        <v>638348.370002739</v>
      </c>
      <c r="P110" s="53" t="n">
        <f aca="false">P50*Assumptions!$D$69*(1-Assumptions!$C$15)*(1-Assumptions!$C$14)</f>
        <v>1576686.07588919</v>
      </c>
    </row>
    <row r="111" customFormat="false" ht="15" hidden="false" customHeight="false" outlineLevel="0" collapsed="false">
      <c r="A111" s="10" t="s">
        <v>641</v>
      </c>
      <c r="B111" s="36" t="s">
        <v>169</v>
      </c>
      <c r="F111" s="53" t="n">
        <f aca="false">F110*(1+Assumptions!$C$9)/(Assumptions!$C$8-Assumptions!$C$9)*(1-Assumptions!$C$10)</f>
        <v>10183879.4952813</v>
      </c>
      <c r="K111" s="53" t="n">
        <f aca="false">K110*(1+Assumptions!$C$9)/(Assumptions!$C$8-Assumptions!$C$9)*(1-Assumptions!$C$10)</f>
        <v>5844433.96535841</v>
      </c>
      <c r="P111" s="53" t="n">
        <f aca="false">P110*(1+Assumptions!$C$9)/(Assumptions!$C$8-Assumptions!$C$9)*(1-Assumptions!$C$10)</f>
        <v>14435436.9614744</v>
      </c>
    </row>
    <row r="112" customFormat="false" ht="15" hidden="false" customHeight="false" outlineLevel="0" collapsed="false">
      <c r="A112" s="10" t="s">
        <v>642</v>
      </c>
      <c r="B112" s="36" t="s">
        <v>169</v>
      </c>
      <c r="F112" s="53" t="n">
        <f aca="false">F111*F106</f>
        <v>7248684.27085322</v>
      </c>
      <c r="K112" s="53" t="n">
        <f aca="false">K111*K106</f>
        <v>4159952.65619192</v>
      </c>
      <c r="P112" s="53" t="n">
        <f aca="false">P111*P106</f>
        <v>10274858.8977331</v>
      </c>
    </row>
    <row r="114" customFormat="false" ht="15" hidden="false" customHeight="false" outlineLevel="0" collapsed="false">
      <c r="A114" s="4" t="s">
        <v>643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 customFormat="false" ht="15" hidden="false" customHeight="false" outlineLevel="0" collapsed="false">
      <c r="A115" s="10" t="s">
        <v>644</v>
      </c>
      <c r="B115" s="36" t="s">
        <v>127</v>
      </c>
      <c r="D115" s="46" t="n">
        <f aca="false">IF(E50=0,0,MIN(Assumptions!$C$13,F50/E50-1))*Assumptions!$C$12</f>
        <v>0.36</v>
      </c>
      <c r="E115" s="46" t="n">
        <f aca="false">D115*Assumptions!$C$12</f>
        <v>0.216</v>
      </c>
      <c r="F115" s="46" t="n">
        <f aca="false">E115*Assumptions!$C$12</f>
        <v>0.1296</v>
      </c>
      <c r="I115" s="46" t="n">
        <f aca="false">IF(J50=0,0,MIN(Assumptions!$C$13,K50/J50-1))*Assumptions!$C$12</f>
        <v>0.36</v>
      </c>
      <c r="J115" s="46" t="n">
        <f aca="false">I115*Assumptions!$C$12</f>
        <v>0.216</v>
      </c>
      <c r="K115" s="46" t="n">
        <f aca="false">J115*Assumptions!$C$12</f>
        <v>0.1296</v>
      </c>
      <c r="N115" s="46" t="n">
        <f aca="false">IF(O50=0,0,MIN(Assumptions!$C$13,P50/O50-1))*Assumptions!$C$12</f>
        <v>0.36</v>
      </c>
      <c r="O115" s="46" t="n">
        <f aca="false">N115*Assumptions!$C$12</f>
        <v>0.216</v>
      </c>
      <c r="P115" s="46" t="n">
        <f aca="false">O115*Assumptions!$C$12</f>
        <v>0.1296</v>
      </c>
    </row>
    <row r="116" customFormat="false" ht="15" hidden="false" customHeight="false" outlineLevel="0" collapsed="false">
      <c r="A116" s="10" t="s">
        <v>645</v>
      </c>
      <c r="B116" s="36" t="s">
        <v>169</v>
      </c>
      <c r="D116" s="53" t="n">
        <f aca="false">F50*(1+D115)</f>
        <v>8506247.36742766</v>
      </c>
      <c r="E116" s="53" t="n">
        <f aca="false">D116*(1+E115)</f>
        <v>10343596.798792</v>
      </c>
      <c r="F116" s="53" t="n">
        <f aca="false">E116*(1+F115)</f>
        <v>11684126.9439155</v>
      </c>
      <c r="I116" s="53" t="n">
        <f aca="false">K50*(1+I115)</f>
        <v>4881656.45076318</v>
      </c>
      <c r="J116" s="53" t="n">
        <f aca="false">I116*(1+J115)</f>
        <v>5936094.24412803</v>
      </c>
      <c r="K116" s="53" t="n">
        <f aca="false">J116*(1+K115)</f>
        <v>6705412.05816702</v>
      </c>
      <c r="N116" s="53" t="n">
        <f aca="false">P50*(1+N115)</f>
        <v>12057428.3806191</v>
      </c>
      <c r="O116" s="53" t="n">
        <f aca="false">N116*(1+O115)</f>
        <v>14661832.9108328</v>
      </c>
      <c r="P116" s="53" t="n">
        <f aca="false">O116*(1+P115)</f>
        <v>16562006.4560768</v>
      </c>
    </row>
    <row r="117" customFormat="false" ht="15" hidden="false" customHeight="false" outlineLevel="0" collapsed="false">
      <c r="A117" s="10" t="s">
        <v>646</v>
      </c>
      <c r="B117" s="36" t="s">
        <v>169</v>
      </c>
      <c r="D117" s="53" t="n">
        <f aca="false">(F50+D116)/2</f>
        <v>7380420.509974</v>
      </c>
      <c r="E117" s="53" t="n">
        <f aca="false">(D116+E116)/2</f>
        <v>9424922.08310984</v>
      </c>
      <c r="F117" s="53" t="n">
        <f aca="false">(E116+F116)/2</f>
        <v>11013861.8713538</v>
      </c>
      <c r="I117" s="53" t="n">
        <f aca="false">(K50+I116)/2</f>
        <v>4235554.86169158</v>
      </c>
      <c r="J117" s="53" t="n">
        <f aca="false">(I116+J116)/2</f>
        <v>5408875.3474456</v>
      </c>
      <c r="K117" s="53" t="n">
        <f aca="false">(J116+K116)/2</f>
        <v>6320753.15114752</v>
      </c>
      <c r="N117" s="53" t="n">
        <f aca="false">(P50+N116)/2</f>
        <v>10461592.2714195</v>
      </c>
      <c r="O117" s="53" t="n">
        <f aca="false">(N116+O116)/2</f>
        <v>13359630.645726</v>
      </c>
      <c r="P117" s="53" t="n">
        <f aca="false">(O116+P116)/2</f>
        <v>15611919.6834548</v>
      </c>
    </row>
    <row r="118" customFormat="false" ht="15" hidden="false" customHeight="false" outlineLevel="0" collapsed="false">
      <c r="A118" s="10" t="s">
        <v>647</v>
      </c>
      <c r="B118" s="36" t="s">
        <v>127</v>
      </c>
      <c r="D118" s="46" t="n">
        <f aca="false">IF(F50=0,0,F79/F50)+(Assumptions!$D$69-IF(F50=0,0,F79/F50))*1/3</f>
        <v>0.0214005169133306</v>
      </c>
      <c r="E118" s="46" t="n">
        <f aca="false">IF(F50=0,0,F79/F50)+(Assumptions!$D$69-IF(F50=0,0,F79/F50))*2/3</f>
        <v>0.140700258456665</v>
      </c>
      <c r="F118" s="46" t="n">
        <f aca="false">IF(F50=0,0,F79/F50)+(Assumptions!$D$69-IF(F50=0,0,F79/F50))*3/3</f>
        <v>0.26</v>
      </c>
      <c r="I118" s="46" t="n">
        <f aca="false">IF(K50=0,0,K79/K50)+(Assumptions!$D$69-IF(K50=0,0,K79/K50))*1/3</f>
        <v>-0.359124910812042</v>
      </c>
      <c r="J118" s="46" t="n">
        <f aca="false">IF(K50=0,0,K79/K50)+(Assumptions!$D$69-IF(K50=0,0,K79/K50))*2/3</f>
        <v>-0.0495624554060211</v>
      </c>
      <c r="K118" s="46" t="n">
        <f aca="false">IF(K50=0,0,K79/K50)+(Assumptions!$D$69-IF(K50=0,0,K79/K50))*3/3</f>
        <v>0.26</v>
      </c>
      <c r="N118" s="46" t="n">
        <f aca="false">IF(P50=0,0,P79/P50)+(Assumptions!$D$69-IF(P50=0,0,P79/P50))*1/3</f>
        <v>0.15638482552091</v>
      </c>
      <c r="O118" s="46" t="n">
        <f aca="false">IF(P50=0,0,P79/P50)+(Assumptions!$D$69-IF(P50=0,0,P79/P50))*2/3</f>
        <v>0.208192412760455</v>
      </c>
      <c r="P118" s="46" t="n">
        <f aca="false">IF(P50=0,0,P79/P50)+(Assumptions!$D$69-IF(P50=0,0,P79/P50))*3/3</f>
        <v>0.26</v>
      </c>
    </row>
    <row r="119" customFormat="false" ht="15" hidden="false" customHeight="false" outlineLevel="0" collapsed="false">
      <c r="A119" s="7" t="s">
        <v>648</v>
      </c>
      <c r="B119" s="36" t="s">
        <v>169</v>
      </c>
      <c r="D119" s="52" t="n">
        <f aca="false">D117*D118</f>
        <v>157944.813951191</v>
      </c>
      <c r="E119" s="52" t="n">
        <f aca="false">E117*E118</f>
        <v>1326088.97302749</v>
      </c>
      <c r="F119" s="52" t="n">
        <f aca="false">F117*F118</f>
        <v>2863604.08655198</v>
      </c>
      <c r="I119" s="52" t="n">
        <f aca="false">I117*I118</f>
        <v>-1521093.2619445</v>
      </c>
      <c r="J119" s="52" t="n">
        <f aca="false">J117*J118</f>
        <v>-268077.1432045</v>
      </c>
      <c r="K119" s="52" t="n">
        <f aca="false">K117*K118</f>
        <v>1643395.81929836</v>
      </c>
      <c r="N119" s="52" t="n">
        <f aca="false">N117*N118</f>
        <v>1636034.28203684</v>
      </c>
      <c r="O119" s="52" t="n">
        <f aca="false">O117*O118</f>
        <v>2781373.7377222</v>
      </c>
      <c r="P119" s="52" t="n">
        <f aca="false">P117*P118</f>
        <v>4059099.11769824</v>
      </c>
    </row>
    <row r="120" customFormat="false" ht="15" hidden="false" customHeight="false" outlineLevel="0" collapsed="false">
      <c r="A120" s="10" t="s">
        <v>649</v>
      </c>
      <c r="B120" s="36" t="s">
        <v>169</v>
      </c>
      <c r="D120" s="53" t="n">
        <f aca="false">F91</f>
        <v>7249987.61862182</v>
      </c>
      <c r="E120" s="53" t="n">
        <f aca="false">D122</f>
        <v>7092042.80467063</v>
      </c>
      <c r="F120" s="53" t="n">
        <f aca="false">E122</f>
        <v>5765953.83164314</v>
      </c>
      <c r="I120" s="53" t="n">
        <f aca="false">K91</f>
        <v>10161632.1243945</v>
      </c>
      <c r="J120" s="53" t="n">
        <f aca="false">I122</f>
        <v>11682725.386339</v>
      </c>
      <c r="K120" s="53" t="n">
        <f aca="false">J122</f>
        <v>11950802.5295435</v>
      </c>
      <c r="N120" s="53" t="n">
        <f aca="false">P91</f>
        <v>4954702.84601023</v>
      </c>
      <c r="O120" s="53" t="n">
        <f aca="false">N122</f>
        <v>3318668.56397339</v>
      </c>
      <c r="P120" s="53" t="n">
        <f aca="false">O122</f>
        <v>537294.826251193</v>
      </c>
    </row>
    <row r="121" customFormat="false" ht="15" hidden="false" customHeight="false" outlineLevel="0" collapsed="false">
      <c r="A121" s="10" t="s">
        <v>650</v>
      </c>
      <c r="B121" s="36" t="s">
        <v>169</v>
      </c>
      <c r="D121" s="53" t="n">
        <f aca="false">MIN(D120,MAX(D119,0))</f>
        <v>157944.813951191</v>
      </c>
      <c r="E121" s="53" t="n">
        <f aca="false">MIN(E120,MAX(E119,0))</f>
        <v>1326088.97302749</v>
      </c>
      <c r="F121" s="53" t="n">
        <f aca="false">MIN(F120,MAX(F119,0))</f>
        <v>2863604.08655198</v>
      </c>
      <c r="I121" s="53" t="n">
        <f aca="false">MIN(I120,MAX(I119,0))</f>
        <v>0</v>
      </c>
      <c r="J121" s="53" t="n">
        <f aca="false">MIN(J120,MAX(J119,0))</f>
        <v>0</v>
      </c>
      <c r="K121" s="53" t="n">
        <f aca="false">MIN(K120,MAX(K119,0))</f>
        <v>1643395.81929836</v>
      </c>
      <c r="N121" s="53" t="n">
        <f aca="false">MIN(N120,MAX(N119,0))</f>
        <v>1636034.28203684</v>
      </c>
      <c r="O121" s="53" t="n">
        <f aca="false">MIN(O120,MAX(O119,0))</f>
        <v>2781373.7377222</v>
      </c>
      <c r="P121" s="53" t="n">
        <f aca="false">MIN(P120,MAX(P119,0))</f>
        <v>537294.826251193</v>
      </c>
    </row>
    <row r="122" customFormat="false" ht="15" hidden="false" customHeight="false" outlineLevel="0" collapsed="false">
      <c r="A122" s="10" t="s">
        <v>651</v>
      </c>
      <c r="B122" s="36" t="s">
        <v>169</v>
      </c>
      <c r="D122" s="53" t="n">
        <f aca="false">D120-D121+MAX(-D119,0)</f>
        <v>7092042.80467063</v>
      </c>
      <c r="E122" s="53" t="n">
        <f aca="false">E120-E121+MAX(-E119,0)</f>
        <v>5765953.83164314</v>
      </c>
      <c r="F122" s="53" t="n">
        <f aca="false">F120-F121+MAX(-F119,0)</f>
        <v>2902349.74509116</v>
      </c>
      <c r="I122" s="53" t="n">
        <f aca="false">I120-I121+MAX(-I119,0)</f>
        <v>11682725.386339</v>
      </c>
      <c r="J122" s="53" t="n">
        <f aca="false">J120-J121+MAX(-J119,0)</f>
        <v>11950802.5295435</v>
      </c>
      <c r="K122" s="53" t="n">
        <f aca="false">K120-K121+MAX(-K119,0)</f>
        <v>10307406.7102452</v>
      </c>
      <c r="N122" s="53" t="n">
        <f aca="false">N120-N121+MAX(-N119,0)</f>
        <v>3318668.56397339</v>
      </c>
      <c r="O122" s="53" t="n">
        <f aca="false">O120-O121+MAX(-O119,0)</f>
        <v>537294.826251193</v>
      </c>
      <c r="P122" s="53" t="n">
        <f aca="false">P120-P121+MAX(-P119,0)</f>
        <v>0</v>
      </c>
    </row>
    <row r="123" customFormat="false" ht="15" hidden="false" customHeight="false" outlineLevel="0" collapsed="false">
      <c r="A123" s="10" t="s">
        <v>652</v>
      </c>
      <c r="B123" s="36" t="s">
        <v>169</v>
      </c>
      <c r="D123" s="53" t="n">
        <f aca="false">(MAX(D119,0)-D121)*F87</f>
        <v>0</v>
      </c>
      <c r="E123" s="53" t="n">
        <f aca="false">(MAX(E119,0)-E121)*F87</f>
        <v>0</v>
      </c>
      <c r="F123" s="53" t="n">
        <f aca="false">(MAX(F119,0)-F121)*F87</f>
        <v>0</v>
      </c>
      <c r="I123" s="53" t="n">
        <f aca="false">(MAX(I119,0)-I121)*K87</f>
        <v>0</v>
      </c>
      <c r="J123" s="53" t="n">
        <f aca="false">(MAX(J119,0)-J121)*K87</f>
        <v>0</v>
      </c>
      <c r="K123" s="53" t="n">
        <f aca="false">(MAX(K119,0)-K121)*K87</f>
        <v>0</v>
      </c>
      <c r="N123" s="53" t="n">
        <f aca="false">(MAX(N119,0)-N121)*P87</f>
        <v>0</v>
      </c>
      <c r="O123" s="53" t="n">
        <f aca="false">(MAX(O119,0)-O121)*P87</f>
        <v>0</v>
      </c>
      <c r="P123" s="53" t="n">
        <f aca="false">(MAX(P119,0)-P121)*P87</f>
        <v>845233.029947292</v>
      </c>
    </row>
    <row r="124" customFormat="false" ht="15" hidden="false" customHeight="false" outlineLevel="0" collapsed="false">
      <c r="A124" s="7" t="s">
        <v>653</v>
      </c>
      <c r="B124" s="36" t="s">
        <v>169</v>
      </c>
      <c r="D124" s="52" t="n">
        <f aca="false">D119-D123-Assumptions!$C$14*MAX(D119-D123,0)</f>
        <v>142150.332556072</v>
      </c>
      <c r="E124" s="52" t="n">
        <f aca="false">E119-E123-Assumptions!$C$14*MAX(E119-E123,0)</f>
        <v>1193480.07572474</v>
      </c>
      <c r="F124" s="52" t="n">
        <f aca="false">F119-F123-Assumptions!$C$14*MAX(F119-F123,0)</f>
        <v>2577243.67789678</v>
      </c>
      <c r="I124" s="52" t="n">
        <f aca="false">I119-I123-Assumptions!$C$14*MAX(I119-I123,0)</f>
        <v>-1521093.2619445</v>
      </c>
      <c r="J124" s="52" t="n">
        <f aca="false">J119-J123-Assumptions!$C$14*MAX(J119-J123,0)</f>
        <v>-268077.1432045</v>
      </c>
      <c r="K124" s="52" t="n">
        <f aca="false">K119-K123-Assumptions!$C$14*MAX(K119-K123,0)</f>
        <v>1479056.23736852</v>
      </c>
      <c r="N124" s="52" t="n">
        <f aca="false">N119-N123-Assumptions!$C$14*MAX(N119-N123,0)</f>
        <v>1472430.85383315</v>
      </c>
      <c r="O124" s="52" t="n">
        <f aca="false">O119-O123-Assumptions!$C$14*MAX(O119-O123,0)</f>
        <v>2503236.36394998</v>
      </c>
      <c r="P124" s="52" t="n">
        <f aca="false">P119-P123-Assumptions!$C$14*MAX(P119-P123,0)</f>
        <v>2892479.47897586</v>
      </c>
    </row>
    <row r="125" customFormat="false" ht="15" hidden="false" customHeight="false" outlineLevel="0" collapsed="false">
      <c r="A125" s="10" t="s">
        <v>654</v>
      </c>
      <c r="B125" s="36" t="s">
        <v>169</v>
      </c>
      <c r="D125" s="53" t="n">
        <f aca="false">F103+D124</f>
        <v>-6700463.58124063</v>
      </c>
      <c r="E125" s="53" t="n">
        <f aca="false">D125+E124</f>
        <v>-5506983.50551589</v>
      </c>
      <c r="F125" s="53" t="n">
        <f aca="false">E125+F124</f>
        <v>-2929739.82761911</v>
      </c>
      <c r="I125" s="53" t="n">
        <f aca="false">K103+I124</f>
        <v>-11423741.1268254</v>
      </c>
      <c r="J125" s="53" t="n">
        <f aca="false">I125+J124</f>
        <v>-11691818.2700299</v>
      </c>
      <c r="K125" s="53" t="n">
        <f aca="false">J125+K124</f>
        <v>-10212762.0326614</v>
      </c>
      <c r="N125" s="53" t="n">
        <f aca="false">P103+N124</f>
        <v>-2919673.65757621</v>
      </c>
      <c r="O125" s="53" t="n">
        <f aca="false">N125+O124</f>
        <v>-416437.293626231</v>
      </c>
      <c r="P125" s="53" t="n">
        <f aca="false">O125+P124</f>
        <v>2476042.18534963</v>
      </c>
    </row>
    <row r="126" customFormat="false" ht="15" hidden="false" customHeight="false" outlineLevel="0" collapsed="false">
      <c r="A126" s="10" t="s">
        <v>655</v>
      </c>
      <c r="B126" s="36" t="s">
        <v>169</v>
      </c>
      <c r="D126" s="53" t="n">
        <f aca="false">D124/(1+Assumptions!$C$8)^4</f>
        <v>90339.1061906424</v>
      </c>
      <c r="E126" s="53" t="n">
        <f aca="false">E124/(1+Assumptions!$C$8)^5</f>
        <v>677212.646731284</v>
      </c>
      <c r="F126" s="53" t="n">
        <f aca="false">F124/(1+Assumptions!$C$8)^6</f>
        <v>1305711.85408001</v>
      </c>
      <c r="I126" s="53" t="n">
        <f aca="false">I124/(1+Assumptions!$C$8)^4</f>
        <v>-966682.266905506</v>
      </c>
      <c r="J126" s="53" t="n">
        <f aca="false">J124/(1+Assumptions!$C$8)^5</f>
        <v>-152114.170458554</v>
      </c>
      <c r="K126" s="53" t="n">
        <f aca="false">K124/(1+Assumptions!$C$8)^6</f>
        <v>749335.919822323</v>
      </c>
      <c r="N126" s="53" t="n">
        <f aca="false">N124/(1+Assumptions!$C$8)^4</f>
        <v>935756.426812031</v>
      </c>
      <c r="O126" s="53" t="n">
        <f aca="false">O124/(1+Assumptions!$C$8)^5</f>
        <v>1420403.5391166</v>
      </c>
      <c r="P126" s="53" t="n">
        <f aca="false">P124/(1+Assumptions!$C$8)^6</f>
        <v>1465420.12141593</v>
      </c>
    </row>
    <row r="127" customFormat="false" ht="15" hidden="false" customHeight="false" outlineLevel="0" collapsed="false">
      <c r="A127" s="10" t="s">
        <v>656</v>
      </c>
      <c r="B127" s="36" t="s">
        <v>169</v>
      </c>
      <c r="F127" s="53" t="n">
        <f aca="false">F116*Assumptions!$D$69*(1-Assumptions!$C$15)*(1-Assumptions!$C$14)</f>
        <v>2077905.13570593</v>
      </c>
      <c r="K127" s="53" t="n">
        <f aca="false">K116*Assumptions!$D$69*(1-Assumptions!$C$15)*(1-Assumptions!$C$14)</f>
        <v>1192490.48042442</v>
      </c>
      <c r="P127" s="53" t="n">
        <f aca="false">P116*Assumptions!$D$69*(1-Assumptions!$C$15)*(1-Assumptions!$C$14)</f>
        <v>2945387.22814869</v>
      </c>
    </row>
    <row r="128" customFormat="false" ht="15" hidden="false" customHeight="false" outlineLevel="0" collapsed="false">
      <c r="A128" s="10" t="s">
        <v>657</v>
      </c>
      <c r="B128" s="36" t="s">
        <v>169</v>
      </c>
      <c r="F128" s="53" t="n">
        <f aca="false">F127*(1+Assumptions!$C$9)/(Assumptions!$C$8-Assumptions!$C$9)*(1-Assumptions!$C$10)</f>
        <v>19024375.9091298</v>
      </c>
      <c r="K128" s="53" t="n">
        <f aca="false">K127*(1+Assumptions!$C$9)/(Assumptions!$C$8-Assumptions!$C$9)*(1-Assumptions!$C$10)</f>
        <v>10917912.8429969</v>
      </c>
      <c r="P128" s="53" t="n">
        <f aca="false">P127*(1+Assumptions!$C$9)/(Assumptions!$C$8-Assumptions!$C$9)*(1-Assumptions!$C$10)</f>
        <v>26966656.3999391</v>
      </c>
    </row>
    <row r="129" customFormat="false" ht="15" hidden="false" customHeight="false" outlineLevel="0" collapsed="false">
      <c r="A129" s="10" t="s">
        <v>658</v>
      </c>
      <c r="B129" s="36" t="s">
        <v>169</v>
      </c>
      <c r="F129" s="53" t="n">
        <f aca="false">F128/(1+Assumptions!$C$8)^6</f>
        <v>9638340.89654126</v>
      </c>
      <c r="K129" s="53" t="n">
        <f aca="false">K128/(1+Assumptions!$C$8)^6</f>
        <v>5531354.42456381</v>
      </c>
      <c r="P129" s="53" t="n">
        <f aca="false">P128/(1+Assumptions!$C$8)^6</f>
        <v>13662147.3663047</v>
      </c>
    </row>
    <row r="131" customFormat="false" ht="15" hidden="false" customHeight="false" outlineLevel="0" collapsed="false">
      <c r="A131" s="4" t="s">
        <v>659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customFormat="false" ht="15" hidden="false" customHeight="false" outlineLevel="0" collapsed="false">
      <c r="A132" s="56" t="s">
        <v>660</v>
      </c>
      <c r="B132" s="80" t="s">
        <v>169</v>
      </c>
      <c r="C132" s="57" t="n">
        <f aca="false">SUM(D49:F49)</f>
        <v>8607398.37640926</v>
      </c>
      <c r="H132" s="57" t="n">
        <f aca="false">SUM(I49:K49)</f>
        <v>5228455.45125988</v>
      </c>
      <c r="M132" s="57" t="n">
        <f aca="false">SUM(N49:P49)</f>
        <v>11860988.2477841</v>
      </c>
    </row>
    <row r="133" customFormat="false" ht="15" hidden="false" customHeight="false" outlineLevel="0" collapsed="false">
      <c r="A133" s="56" t="s">
        <v>69</v>
      </c>
      <c r="B133" s="80" t="s">
        <v>169</v>
      </c>
      <c r="C133" s="57" t="n">
        <f aca="false">F49</f>
        <v>5493800.08401247</v>
      </c>
      <c r="H133" s="57" t="n">
        <f aca="false">K49</f>
        <v>3297347.89064996</v>
      </c>
      <c r="M133" s="57" t="n">
        <f aca="false">P49</f>
        <v>7617472.59672834</v>
      </c>
    </row>
    <row r="134" customFormat="false" ht="15" hidden="false" customHeight="false" outlineLevel="0" collapsed="false">
      <c r="A134" s="56" t="s">
        <v>70</v>
      </c>
      <c r="B134" s="80" t="s">
        <v>169</v>
      </c>
      <c r="C134" s="57" t="n">
        <f aca="false">F50</f>
        <v>6254593.65252034</v>
      </c>
      <c r="H134" s="57" t="n">
        <f aca="false">K50</f>
        <v>3589453.27261999</v>
      </c>
      <c r="M134" s="57" t="n">
        <f aca="false">P50</f>
        <v>8865756.16221992</v>
      </c>
    </row>
    <row r="135" customFormat="false" ht="15" hidden="false" customHeight="false" outlineLevel="0" collapsed="false">
      <c r="A135" s="56" t="s">
        <v>373</v>
      </c>
      <c r="B135" s="80" t="s">
        <v>550</v>
      </c>
      <c r="C135" s="58" t="n">
        <f aca="false">F34</f>
        <v>349.008768</v>
      </c>
      <c r="H135" s="58" t="n">
        <f aca="false">K34</f>
        <v>222.5276352</v>
      </c>
      <c r="M135" s="58" t="n">
        <f aca="false">P34</f>
        <v>458.0883216</v>
      </c>
    </row>
    <row r="136" customFormat="false" ht="15" hidden="false" customHeight="false" outlineLevel="0" collapsed="false">
      <c r="A136" s="56" t="s">
        <v>72</v>
      </c>
      <c r="B136" s="80" t="s">
        <v>169</v>
      </c>
      <c r="C136" s="57" t="n">
        <f aca="false">F79</f>
        <v>-612319.868957486</v>
      </c>
      <c r="H136" s="57" t="n">
        <f aca="false">K79</f>
        <v>-2400222.05503107</v>
      </c>
      <c r="M136" s="57" t="n">
        <f aca="false">P79</f>
        <v>927156.29472095</v>
      </c>
    </row>
    <row r="137" customFormat="false" ht="15" hidden="false" customHeight="false" outlineLevel="0" collapsed="false">
      <c r="A137" s="56" t="s">
        <v>73</v>
      </c>
      <c r="B137" s="80" t="s">
        <v>127</v>
      </c>
      <c r="C137" s="81" t="n">
        <f aca="false">F80</f>
        <v>-0.111456525463932</v>
      </c>
      <c r="H137" s="81" t="n">
        <f aca="false">K80</f>
        <v>-0.727925027819236</v>
      </c>
      <c r="M137" s="81" t="n">
        <f aca="false">P80</f>
        <v>0.121714424692405</v>
      </c>
    </row>
    <row r="138" customFormat="false" ht="15" hidden="false" customHeight="false" outlineLevel="0" collapsed="false">
      <c r="A138" s="56" t="s">
        <v>74</v>
      </c>
      <c r="B138" s="80"/>
      <c r="C138" s="56" t="str">
        <f aca="false">IF(D79&gt;0,"Year 1",IF(E79&gt;0,"Year 2",IF(F79&gt;0,"Year 3","After Year 3")))</f>
        <v>After Year 3</v>
      </c>
      <c r="H138" s="56" t="str">
        <f aca="false">IF(I79&gt;0,"Year 1",IF(J79&gt;0,"Year 2",IF(K79&gt;0,"Year 3","After Year 3")))</f>
        <v>After Year 3</v>
      </c>
      <c r="M138" s="56" t="str">
        <f aca="false">IF(N79&gt;0,"Year 1",IF(O79&gt;0,"Year 2",IF(P79&gt;0,"Year 3","After Year 3")))</f>
        <v>Year 3</v>
      </c>
    </row>
    <row r="139" customFormat="false" ht="15" hidden="false" customHeight="false" outlineLevel="0" collapsed="false">
      <c r="A139" s="56" t="s">
        <v>661</v>
      </c>
      <c r="B139" s="80"/>
      <c r="C139" s="56" t="str">
        <f aca="false">IF(D103&gt;=0,"Year 1",IF(E103&gt;=0,"Year 2",IF(F103&gt;=0,"Year 3","Beyond Year 3")))</f>
        <v>Beyond Year 3</v>
      </c>
      <c r="H139" s="56" t="str">
        <f aca="false">IF(I103&gt;=0,"Year 1",IF(J103&gt;=0,"Year 2",IF(K103&gt;=0,"Year 3","Beyond Year 3")))</f>
        <v>Beyond Year 3</v>
      </c>
      <c r="M139" s="56" t="str">
        <f aca="false">IF(N103&gt;=0,"Year 1",IF(O103&gt;=0,"Year 2",IF(P103&gt;=0,"Year 3","Beyond Year 3")))</f>
        <v>Beyond Year 3</v>
      </c>
    </row>
    <row r="140" customFormat="false" ht="15" hidden="false" customHeight="false" outlineLevel="0" collapsed="false">
      <c r="A140" s="56" t="s">
        <v>662</v>
      </c>
      <c r="B140" s="80" t="s">
        <v>169</v>
      </c>
      <c r="C140" s="57" t="n">
        <f aca="false">MAX(0,-MIN(C103:F103))</f>
        <v>6842613.9137967</v>
      </c>
      <c r="H140" s="57" t="n">
        <f aca="false">MAX(0,-MIN(H103:K103))</f>
        <v>9902647.86488088</v>
      </c>
      <c r="M140" s="57" t="n">
        <f aca="false">MAX(0,-MIN(M103:P103))</f>
        <v>5637165.19670676</v>
      </c>
    </row>
    <row r="141" customFormat="false" ht="15" hidden="false" customHeight="false" outlineLevel="0" collapsed="false">
      <c r="A141" s="56" t="s">
        <v>663</v>
      </c>
      <c r="B141" s="80" t="s">
        <v>169</v>
      </c>
      <c r="C141" s="57" t="n">
        <f aca="false">MAX(0,-MIN(C103:F103,IF(Assumptions!$C$11=1,MIN(D125:F125),0)))</f>
        <v>6842613.9137967</v>
      </c>
      <c r="H141" s="57" t="n">
        <f aca="false">MAX(0,-MIN(H103:K103,IF(Assumptions!$C$11=1,MIN(I125:K125),0)))</f>
        <v>11691818.2700299</v>
      </c>
      <c r="M141" s="57" t="n">
        <f aca="false">MAX(0,-MIN(M103:P103,IF(Assumptions!$C$11=1,MIN(N125:P125),0)))</f>
        <v>5637165.19670676</v>
      </c>
    </row>
    <row r="142" customFormat="false" ht="15" hidden="false" customHeight="false" outlineLevel="0" collapsed="false">
      <c r="A142" s="56" t="s">
        <v>664</v>
      </c>
      <c r="B142" s="80" t="s">
        <v>169</v>
      </c>
      <c r="C142" s="57" t="n">
        <f aca="false">MAX(0,-D103)</f>
        <v>4352064.02543945</v>
      </c>
      <c r="H142" s="57" t="n">
        <f aca="false">MAX(0,-I103)</f>
        <v>4655751.62838174</v>
      </c>
      <c r="M142" s="57" t="n">
        <f aca="false">MAX(0,-N103)</f>
        <v>4207189.64011069</v>
      </c>
    </row>
    <row r="143" customFormat="false" ht="15" hidden="false" customHeight="false" outlineLevel="0" collapsed="false">
      <c r="A143" s="56" t="s">
        <v>665</v>
      </c>
      <c r="B143" s="80" t="s">
        <v>169</v>
      </c>
      <c r="C143" s="57" t="n">
        <f aca="false">SUM(C107:F107)</f>
        <v>-6007922.36618611</v>
      </c>
      <c r="H143" s="57" t="n">
        <f aca="false">SUM(H107:K107)</f>
        <v>-8315259.39153524</v>
      </c>
      <c r="M143" s="57" t="n">
        <f aca="false">SUM(M107:P107)</f>
        <v>-4180534.62002683</v>
      </c>
    </row>
    <row r="144" customFormat="false" ht="15" hidden="false" customHeight="false" outlineLevel="0" collapsed="false">
      <c r="A144" s="56" t="s">
        <v>666</v>
      </c>
      <c r="B144" s="80" t="s">
        <v>169</v>
      </c>
      <c r="C144" s="57" t="n">
        <f aca="false">IF(Assumptions!$C$11=1,SUM(D126:F126)+F129,F112)</f>
        <v>11711604.5035432</v>
      </c>
      <c r="H144" s="57" t="n">
        <f aca="false">IF(Assumptions!$C$11=1,SUM(I126:K126)+K129,K112)</f>
        <v>5161893.90702207</v>
      </c>
      <c r="M144" s="57" t="n">
        <f aca="false">IF(Assumptions!$C$11=1,SUM(N126:P126)+P129,P112)</f>
        <v>17483727.4536493</v>
      </c>
    </row>
    <row r="145" customFormat="false" ht="15" hidden="false" customHeight="false" outlineLevel="0" collapsed="false">
      <c r="A145" s="56" t="s">
        <v>667</v>
      </c>
      <c r="B145" s="80" t="s">
        <v>169</v>
      </c>
      <c r="C145" s="57" t="n">
        <f aca="false">C143+F112</f>
        <v>1240761.90466711</v>
      </c>
      <c r="H145" s="57" t="n">
        <f aca="false">H143+K112</f>
        <v>-4155306.73534332</v>
      </c>
      <c r="M145" s="57" t="n">
        <f aca="false">M143+P112</f>
        <v>6094324.27770627</v>
      </c>
    </row>
    <row r="146" customFormat="false" ht="15" hidden="false" customHeight="false" outlineLevel="0" collapsed="false">
      <c r="A146" s="56" t="s">
        <v>668</v>
      </c>
      <c r="B146" s="80" t="s">
        <v>169</v>
      </c>
      <c r="C146" s="57" t="n">
        <f aca="false">C143+C144</f>
        <v>5703682.13735708</v>
      </c>
      <c r="H146" s="57" t="n">
        <f aca="false">H143+H144</f>
        <v>-3153365.48451317</v>
      </c>
      <c r="M146" s="57" t="n">
        <f aca="false">M143+M144</f>
        <v>13303192.8336225</v>
      </c>
    </row>
    <row r="147" customFormat="false" ht="15" hidden="false" customHeight="false" outlineLevel="0" collapsed="false">
      <c r="A147" s="56" t="s">
        <v>669</v>
      </c>
      <c r="B147" s="80" t="s">
        <v>127</v>
      </c>
      <c r="C147" s="82" t="n">
        <f aca="false">IRR_Calc!$K$14</f>
        <v>0.284799063510689</v>
      </c>
      <c r="H147" s="82" t="n">
        <f aca="false">IRR_Calc!$K$15</f>
        <v>0.0146645644826991</v>
      </c>
      <c r="M147" s="82" t="n">
        <f aca="false">IRR_Calc!$K$16</f>
        <v>0.469923176420733</v>
      </c>
    </row>
    <row r="148" customFormat="false" ht="15" hidden="false" customHeight="false" outlineLevel="0" collapsed="false">
      <c r="A148" s="56" t="s">
        <v>670</v>
      </c>
      <c r="B148" s="80" t="s">
        <v>137</v>
      </c>
      <c r="C148" s="83" t="n">
        <f aca="false">IF(C141=0,0,C146/C141)</f>
        <v>0.833553114235599</v>
      </c>
      <c r="H148" s="83" t="n">
        <f aca="false">IF(H141=0,0,H146/H141)</f>
        <v>-0.269707021755232</v>
      </c>
      <c r="M148" s="83" t="n">
        <f aca="false">IF(M141=0,0,M146/M141)</f>
        <v>2.359908281807</v>
      </c>
    </row>
    <row r="149" customFormat="false" ht="15" hidden="false" customHeight="false" outlineLevel="0" collapsed="false">
      <c r="A149" s="56" t="s">
        <v>671</v>
      </c>
      <c r="B149" s="80" t="s">
        <v>137</v>
      </c>
      <c r="C149" s="83" t="n">
        <f aca="false">IF(F50=0,0,IF(Assumptions!$C$11=1,F128,F111)/F50)</f>
        <v>3.0416645694423</v>
      </c>
      <c r="H149" s="83" t="n">
        <f aca="false">IF(K50=0,0,IF(Assumptions!$C$11=1,K128,K111)/K50)</f>
        <v>3.0416645694423</v>
      </c>
      <c r="M149" s="83" t="n">
        <f aca="false">IF(P50=0,0,IF(Assumptions!$C$11=1,P128,P111)/P50)</f>
        <v>3.0416645694423</v>
      </c>
    </row>
    <row r="150" customFormat="false" ht="15" hidden="false" customHeight="false" outlineLevel="0" collapsed="false">
      <c r="A150" s="56" t="s">
        <v>672</v>
      </c>
      <c r="B150" s="80" t="s">
        <v>673</v>
      </c>
      <c r="C150" s="66" t="n">
        <f aca="false">C146*Assumptions!$C$7/10000000</f>
        <v>13.4036530227891</v>
      </c>
      <c r="H150" s="66" t="n">
        <f aca="false">H146*Assumptions!$C$7/10000000</f>
        <v>-7.41040888860596</v>
      </c>
      <c r="M150" s="66" t="n">
        <f aca="false">M146*Assumptions!$C$7/10000000</f>
        <v>31.2625031590128</v>
      </c>
    </row>
    <row r="151" customFormat="false" ht="15" hidden="false" customHeight="false" outlineLevel="0" collapsed="false">
      <c r="A151" s="56" t="s">
        <v>674</v>
      </c>
      <c r="B151" s="80" t="s">
        <v>169</v>
      </c>
      <c r="C151" s="57" t="n">
        <f aca="false">ROUND(C143-(C102+NPV(Assumptions!$C$8,D102:F102)),2)</f>
        <v>0</v>
      </c>
      <c r="H151" s="57" t="n">
        <f aca="false">ROUND(H143-(H102+NPV(Assumptions!$C$8,I102:K102)),2)</f>
        <v>0</v>
      </c>
      <c r="M151" s="57" t="n">
        <f aca="false">ROUND(M143-(M102+NPV(Assumptions!$C$8,N102:P102)),2)</f>
        <v>0</v>
      </c>
    </row>
  </sheetData>
  <mergeCells count="3">
    <mergeCell ref="C4:F4"/>
    <mergeCell ref="H4:K4"/>
    <mergeCell ref="M4:P4"/>
  </mergeCells>
  <conditionalFormatting sqref="C79:F79">
    <cfRule type="cellIs" priority="2" operator="lessThan" aboveAverage="0" equalAverage="0" bottom="0" percent="0" rank="0" text="" dxfId="2">
      <formula>0</formula>
    </cfRule>
  </conditionalFormatting>
  <conditionalFormatting sqref="H79:K79">
    <cfRule type="cellIs" priority="3" operator="lessThan" aboveAverage="0" equalAverage="0" bottom="0" percent="0" rank="0" text="" dxfId="2">
      <formula>0</formula>
    </cfRule>
  </conditionalFormatting>
  <conditionalFormatting sqref="M79:P79">
    <cfRule type="cellIs" priority="4" operator="lessThan" aboveAverage="0" equalAverage="0" bottom="0" percent="0" rank="0" text="" dxfId="2">
      <formula>0</formula>
    </cfRule>
  </conditionalFormatting>
  <conditionalFormatting sqref="C102:F102">
    <cfRule type="cellIs" priority="5" operator="lessThan" aboveAverage="0" equalAverage="0" bottom="0" percent="0" rank="0" text="" dxfId="2">
      <formula>0</formula>
    </cfRule>
  </conditionalFormatting>
  <conditionalFormatting sqref="H102:K102">
    <cfRule type="cellIs" priority="6" operator="lessThan" aboveAverage="0" equalAverage="0" bottom="0" percent="0" rank="0" text="" dxfId="2">
      <formula>0</formula>
    </cfRule>
  </conditionalFormatting>
  <conditionalFormatting sqref="M102:P102">
    <cfRule type="cellIs" priority="7" operator="lessThan" aboveAverage="0" equalAverage="0" bottom="0" percent="0" rank="0" text="" dxfId="2">
      <formula>0</formula>
    </cfRule>
  </conditionalFormatting>
  <conditionalFormatting sqref="C103:F103">
    <cfRule type="cellIs" priority="8" operator="lessThan" aboveAverage="0" equalAverage="0" bottom="0" percent="0" rank="0" text="" dxfId="2">
      <formula>0</formula>
    </cfRule>
  </conditionalFormatting>
  <conditionalFormatting sqref="H103:K103">
    <cfRule type="cellIs" priority="9" operator="lessThan" aboveAverage="0" equalAverage="0" bottom="0" percent="0" rank="0" text="" dxfId="2">
      <formula>0</formula>
    </cfRule>
  </conditionalFormatting>
  <conditionalFormatting sqref="M103:P103">
    <cfRule type="cellIs" priority="10" operator="lessThan" aboveAverage="0" equalAverage="0" bottom="0" percent="0" rank="0" text="" dxfId="2">
      <formula>0</formula>
    </cfRule>
  </conditionalFormatting>
  <conditionalFormatting sqref="C94:F94">
    <cfRule type="cellIs" priority="11" operator="lessThan" aboveAverage="0" equalAverage="0" bottom="0" percent="0" rank="0" text="" dxfId="2">
      <formula>0</formula>
    </cfRule>
  </conditionalFormatting>
  <conditionalFormatting sqref="H94:K94">
    <cfRule type="cellIs" priority="12" operator="lessThan" aboveAverage="0" equalAverage="0" bottom="0" percent="0" rank="0" text="" dxfId="2">
      <formula>0</formula>
    </cfRule>
  </conditionalFormatting>
  <conditionalFormatting sqref="M94:P94">
    <cfRule type="cellIs" priority="13" operator="lessThan" aboveAverage="0" equalAverage="0" bottom="0" percent="0" rank="0" text="" dxfId="2">
      <formula>0</formula>
    </cfRule>
  </conditionalFormatting>
  <conditionalFormatting sqref="C146:F146">
    <cfRule type="cellIs" priority="14" operator="lessThan" aboveAverage="0" equalAverage="0" bottom="0" percent="0" rank="0" text="" dxfId="2">
      <formula>0</formula>
    </cfRule>
  </conditionalFormatting>
  <conditionalFormatting sqref="H146:K146">
    <cfRule type="cellIs" priority="15" operator="lessThan" aboveAverage="0" equalAverage="0" bottom="0" percent="0" rank="0" text="" dxfId="2">
      <formula>0</formula>
    </cfRule>
  </conditionalFormatting>
  <conditionalFormatting sqref="M146:P146">
    <cfRule type="cellIs" priority="16" operator="lessThan" aboveAverage="0" equalAverage="0" bottom="0" percent="0" rank="0" text="" dxfId="2">
      <formula>0</formula>
    </cfRule>
  </conditionalFormatting>
  <conditionalFormatting sqref="C143:F143">
    <cfRule type="cellIs" priority="17" operator="lessThan" aboveAverage="0" equalAverage="0" bottom="0" percent="0" rank="0" text="" dxfId="2">
      <formula>0</formula>
    </cfRule>
  </conditionalFormatting>
  <conditionalFormatting sqref="H143:K143">
    <cfRule type="cellIs" priority="18" operator="lessThan" aboveAverage="0" equalAverage="0" bottom="0" percent="0" rank="0" text="" dxfId="2">
      <formula>0</formula>
    </cfRule>
  </conditionalFormatting>
  <conditionalFormatting sqref="M143:P143">
    <cfRule type="cellIs" priority="19" operator="lessThan" aboveAverage="0" equalAverage="0" bottom="0" percent="0" rank="0" text="" dxfId="2">
      <formula>0</formula>
    </cfRule>
  </conditionalFormatting>
  <conditionalFormatting sqref="C136:F136">
    <cfRule type="cellIs" priority="20" operator="lessThan" aboveAverage="0" equalAverage="0" bottom="0" percent="0" rank="0" text="" dxfId="2">
      <formula>0</formula>
    </cfRule>
  </conditionalFormatting>
  <conditionalFormatting sqref="H136:K136">
    <cfRule type="cellIs" priority="21" operator="lessThan" aboveAverage="0" equalAverage="0" bottom="0" percent="0" rank="0" text="" dxfId="2">
      <formula>0</formula>
    </cfRule>
  </conditionalFormatting>
  <conditionalFormatting sqref="M136:P136">
    <cfRule type="cellIs" priority="22" operator="less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true"/>
  </sheetPr>
  <dimension ref="A1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11" min="3" style="0" width="14"/>
  </cols>
  <sheetData>
    <row r="1" customFormat="false" ht="17.35" hidden="false" customHeight="false" outlineLevel="0" collapsed="false">
      <c r="A1" s="13" t="s">
        <v>682</v>
      </c>
    </row>
    <row r="2" customFormat="false" ht="15" hidden="false" customHeight="false" outlineLevel="0" collapsed="false">
      <c r="A2" s="14" t="s">
        <v>683</v>
      </c>
    </row>
    <row r="4" customFormat="false" ht="15" hidden="false" customHeight="false" outlineLevel="0" collapsed="false">
      <c r="A4" s="16" t="s">
        <v>684</v>
      </c>
      <c r="B4" s="17" t="s">
        <v>685</v>
      </c>
      <c r="C4" s="17"/>
      <c r="D4" s="17" t="s">
        <v>105</v>
      </c>
      <c r="E4" s="17" t="s">
        <v>101</v>
      </c>
      <c r="F4" s="17" t="s">
        <v>102</v>
      </c>
      <c r="G4" s="17" t="s">
        <v>103</v>
      </c>
      <c r="H4" s="17" t="s">
        <v>686</v>
      </c>
      <c r="I4" s="17" t="s">
        <v>687</v>
      </c>
      <c r="J4" s="17" t="s">
        <v>688</v>
      </c>
      <c r="K4" s="17" t="s">
        <v>689</v>
      </c>
    </row>
    <row r="5" customFormat="false" ht="15" hidden="false" customHeight="false" outlineLevel="0" collapsed="false">
      <c r="A5" s="10" t="s">
        <v>690</v>
      </c>
      <c r="B5" s="10" t="s">
        <v>108</v>
      </c>
      <c r="D5" s="55" t="n">
        <f aca="false">Model_A_Direct!$C$102</f>
        <v>-1690000</v>
      </c>
      <c r="E5" s="55" t="n">
        <f aca="false">Model_A_Direct!$D$102</f>
        <v>-4405197.12842466</v>
      </c>
      <c r="F5" s="55" t="n">
        <f aca="false">Model_A_Direct!$E$102</f>
        <v>-4218928.35070181</v>
      </c>
      <c r="G5" s="53" t="n">
        <f aca="false">Model_A_Direct!$F$102+(1-Assumptions!$C$11)*Model_A_Direct!$F$111</f>
        <v>-3222513.60343583</v>
      </c>
      <c r="H5" s="53" t="n">
        <f aca="false">Assumptions!$C$11*Model_A_Direct!$D$124</f>
        <v>-2074334.19485526</v>
      </c>
      <c r="I5" s="53" t="n">
        <f aca="false">Assumptions!$C$11*Model_A_Direct!$E$124</f>
        <v>-195363.830800552</v>
      </c>
      <c r="J5" s="53" t="n">
        <f aca="false">Assumptions!$C$11*(Model_A_Direct!$F$124+Model_A_Direct!$F$128)</f>
        <v>19906907.8048643</v>
      </c>
      <c r="K5" s="61" t="n">
        <f aca="false">IFERROR(IF(IRR(D5:J5,0.1)&lt;-0.6,IRR(D5:J5,-0.15),IRR(D5:J5,0.1)),IFERROR(IRR(D5:J5,-0.15),"n/m"))</f>
        <v>0.0588577787559834</v>
      </c>
    </row>
    <row r="6" customFormat="false" ht="15" hidden="false" customHeight="false" outlineLevel="0" collapsed="false">
      <c r="A6" s="10" t="s">
        <v>690</v>
      </c>
      <c r="B6" s="10" t="s">
        <v>107</v>
      </c>
      <c r="D6" s="55" t="n">
        <f aca="false">Model_A_Direct!$H$102</f>
        <v>-1690000</v>
      </c>
      <c r="E6" s="55" t="n">
        <f aca="false">Model_A_Direct!$I$102</f>
        <v>-4809044.55901541</v>
      </c>
      <c r="F6" s="55" t="n">
        <f aca="false">Model_A_Direct!$J$102</f>
        <v>-5250699.96329242</v>
      </c>
      <c r="G6" s="53" t="n">
        <f aca="false">Model_A_Direct!$K$102+(1-Assumptions!$C$11)*Model_A_Direct!$K$111</f>
        <v>-5289913.78347908</v>
      </c>
      <c r="H6" s="53" t="n">
        <f aca="false">Assumptions!$C$11*Model_A_Direct!$I$124</f>
        <v>-3892238.78755801</v>
      </c>
      <c r="I6" s="53" t="n">
        <f aca="false">Assumptions!$C$11*Model_A_Direct!$J$124</f>
        <v>-1837961.36401893</v>
      </c>
      <c r="J6" s="53" t="n">
        <f aca="false">Assumptions!$C$11*(Model_A_Direct!$K$124+Model_A_Direct!$K$128)</f>
        <v>11411639.5607202</v>
      </c>
      <c r="K6" s="61" t="n">
        <f aca="false">IFERROR(IF(IRR(D6:J6,0.1)&lt;-0.6,IRR(D6:J6,-0.15),IRR(D6:J6,0.1)),IFERROR(IRR(D6:J6,-0.15),"n/m"))</f>
        <v>-0.186726155852696</v>
      </c>
    </row>
    <row r="7" customFormat="false" ht="15" hidden="false" customHeight="false" outlineLevel="0" collapsed="false">
      <c r="A7" s="10" t="s">
        <v>690</v>
      </c>
      <c r="B7" s="10" t="s">
        <v>109</v>
      </c>
      <c r="D7" s="55" t="n">
        <f aca="false">Model_A_Direct!$M$102</f>
        <v>-1690000</v>
      </c>
      <c r="E7" s="55" t="n">
        <f aca="false">Model_A_Direct!$N$102</f>
        <v>-4243534.2015</v>
      </c>
      <c r="F7" s="55" t="n">
        <f aca="false">Model_A_Direct!$O$102</f>
        <v>-3502467.48877643</v>
      </c>
      <c r="G7" s="53" t="n">
        <f aca="false">Model_A_Direct!$P$102+(1-Assumptions!$C$11)*Model_A_Direct!$P$111</f>
        <v>-1547778.30464996</v>
      </c>
      <c r="H7" s="53" t="n">
        <f aca="false">Assumptions!$C$11*Model_A_Direct!$N$124</f>
        <v>-573946.963040315</v>
      </c>
      <c r="I7" s="53" t="n">
        <f aca="false">Assumptions!$C$11*Model_A_Direct!$O$124</f>
        <v>1111425.17498346</v>
      </c>
      <c r="J7" s="53" t="n">
        <f aca="false">Assumptions!$C$11*(Model_A_Direct!$P$124+Model_A_Direct!$P$128)</f>
        <v>28233287.7065329</v>
      </c>
      <c r="K7" s="61" t="n">
        <f aca="false">IFERROR(IF(IRR(D7:J7,0.1)&lt;-0.6,IRR(D7:J7,-0.15),IRR(D7:J7,0.1)),IFERROR(IRR(D7:J7,-0.15),"n/m"))</f>
        <v>0.230326547918837</v>
      </c>
    </row>
    <row r="8" customFormat="false" ht="15" hidden="false" customHeight="false" outlineLevel="0" collapsed="false">
      <c r="A8" s="10" t="s">
        <v>691</v>
      </c>
      <c r="B8" s="10" t="s">
        <v>108</v>
      </c>
      <c r="D8" s="55" t="n">
        <f aca="false">Model_B_Partner!$C$102</f>
        <v>-1590000</v>
      </c>
      <c r="E8" s="55" t="n">
        <f aca="false">Model_B_Partner!$D$102</f>
        <v>-3559411.44736986</v>
      </c>
      <c r="F8" s="55" t="n">
        <f aca="false">Model_B_Partner!$E$102</f>
        <v>-3128996.02425314</v>
      </c>
      <c r="G8" s="53" t="n">
        <f aca="false">Model_B_Partner!$F$102+(1-Assumptions!$C$11)*Model_B_Partner!$F$111</f>
        <v>-1903999.47736857</v>
      </c>
      <c r="H8" s="53" t="n">
        <f aca="false">Assumptions!$C$11*Model_B_Partner!$D$124</f>
        <v>-1125889.90117665</v>
      </c>
      <c r="I8" s="53" t="n">
        <f aca="false">Assumptions!$C$11*Model_B_Partner!$E$124</f>
        <v>228170.117281752</v>
      </c>
      <c r="J8" s="53" t="n">
        <f aca="false">Assumptions!$C$11*(Model_B_Partner!$F$124+Model_B_Partner!$F$128)</f>
        <v>17144142.5293862</v>
      </c>
      <c r="K8" s="61" t="n">
        <f aca="false">IFERROR(IF(IRR(D8:J8,0.1)&lt;-0.6,IRR(D8:J8,-0.15),IRR(D8:J8,0.1)),IFERROR(IRR(D8:J8,-0.15),"n/m"))</f>
        <v>0.105425947921034</v>
      </c>
    </row>
    <row r="9" customFormat="false" ht="15" hidden="false" customHeight="false" outlineLevel="0" collapsed="false">
      <c r="A9" s="10" t="s">
        <v>691</v>
      </c>
      <c r="B9" s="10" t="s">
        <v>107</v>
      </c>
      <c r="D9" s="55" t="n">
        <f aca="false">Model_B_Partner!$H$102</f>
        <v>-1590000</v>
      </c>
      <c r="E9" s="55" t="n">
        <f aca="false">Model_B_Partner!$I$102</f>
        <v>-3868488.81978329</v>
      </c>
      <c r="F9" s="55" t="n">
        <f aca="false">Model_B_Partner!$J$102</f>
        <v>-3892094.81144466</v>
      </c>
      <c r="G9" s="53" t="n">
        <f aca="false">Model_B_Partner!$K$102+(1-Assumptions!$C$11)*Model_B_Partner!$K$111</f>
        <v>-3478919.60984976</v>
      </c>
      <c r="H9" s="53" t="n">
        <f aca="false">Assumptions!$C$11*Model_B_Partner!$I$124</f>
        <v>-2520101.61388217</v>
      </c>
      <c r="I9" s="53" t="n">
        <f aca="false">Assumptions!$C$11*Model_B_Partner!$J$124</f>
        <v>-1051047.66966351</v>
      </c>
      <c r="J9" s="53" t="n">
        <f aca="false">Assumptions!$C$11*(Model_B_Partner!$K$124+Model_B_Partner!$K$128)</f>
        <v>9838864.34949639</v>
      </c>
      <c r="K9" s="61" t="n">
        <f aca="false">IFERROR(IF(IRR(D9:J9,0.1)&lt;-0.6,IRR(D9:J9,-0.15),IRR(D9:J9,0.1)),IFERROR(IRR(D9:J9,-0.15),"n/m"))</f>
        <v>-0.13309247572316</v>
      </c>
    </row>
    <row r="10" customFormat="false" ht="15" hidden="false" customHeight="false" outlineLevel="0" collapsed="false">
      <c r="A10" s="10" t="s">
        <v>691</v>
      </c>
      <c r="B10" s="10" t="s">
        <v>109</v>
      </c>
      <c r="D10" s="55" t="n">
        <f aca="false">Model_B_Partner!$M$102</f>
        <v>-1590000</v>
      </c>
      <c r="E10" s="55" t="n">
        <f aca="false">Model_B_Partner!$N$102</f>
        <v>-3444611.13923332</v>
      </c>
      <c r="F10" s="55" t="n">
        <f aca="false">Model_B_Partner!$O$102</f>
        <v>-2600991.94659769</v>
      </c>
      <c r="G10" s="53" t="n">
        <f aca="false">Model_B_Partner!$P$102+(1-Assumptions!$C$11)*Model_B_Partner!$P$111</f>
        <v>-606059.371092914</v>
      </c>
      <c r="H10" s="53" t="n">
        <f aca="false">Assumptions!$C$11*Model_B_Partner!$N$124</f>
        <v>40695.8193269882</v>
      </c>
      <c r="I10" s="53" t="n">
        <f aca="false">Assumptions!$C$11*Model_B_Partner!$O$124</f>
        <v>1266521.75690895</v>
      </c>
      <c r="J10" s="53" t="n">
        <f aca="false">Assumptions!$C$11*(Model_B_Partner!$P$124+Model_B_Partner!$P$128)</f>
        <v>24301464.7665615</v>
      </c>
      <c r="K10" s="61" t="n">
        <f aca="false">IFERROR(IF(IRR(D10:J10,0.1)&lt;-0.6,IRR(D10:J10,-0.15),IRR(D10:J10,0.1)),IFERROR(IRR(D10:J10,-0.15),"n/m"))</f>
        <v>0.269151350588548</v>
      </c>
    </row>
    <row r="11" customFormat="false" ht="15" hidden="false" customHeight="false" outlineLevel="0" collapsed="false">
      <c r="A11" s="10" t="s">
        <v>692</v>
      </c>
      <c r="B11" s="10" t="s">
        <v>108</v>
      </c>
      <c r="D11" s="55" t="n">
        <f aca="false">Model_C_Distributor!$C$102</f>
        <v>-1300000</v>
      </c>
      <c r="E11" s="55" t="n">
        <f aca="false">Model_C_Distributor!$D$102</f>
        <v>-2930788.99636986</v>
      </c>
      <c r="F11" s="55" t="n">
        <f aca="false">Model_C_Distributor!$E$102</f>
        <v>-2500556.73621402</v>
      </c>
      <c r="G11" s="53" t="n">
        <f aca="false">Model_C_Distributor!$F$102+(1-Assumptions!$C$11)*Model_C_Distributor!$F$111</f>
        <v>-1194354.90997006</v>
      </c>
      <c r="H11" s="53" t="n">
        <f aca="false">Assumptions!$C$11*Model_C_Distributor!$D$124</f>
        <v>-829944.762452915</v>
      </c>
      <c r="I11" s="53" t="n">
        <f aca="false">Assumptions!$C$11*Model_C_Distributor!$E$124</f>
        <v>-139544.071285787</v>
      </c>
      <c r="J11" s="53" t="n">
        <f aca="false">Assumptions!$C$11*(Model_C_Distributor!$F$124+Model_C_Distributor!$F$128)</f>
        <v>6882651.00398187</v>
      </c>
      <c r="K11" s="61" t="n">
        <f aca="false">IFERROR(IF(IRR(D11:J11,0.1)&lt;-0.6,IRR(D11:J11,-0.15),IRR(D11:J11,0.1)),IFERROR(IRR(D11:J11,-0.15),"n/m"))</f>
        <v>-0.059142007073833</v>
      </c>
    </row>
    <row r="12" customFormat="false" ht="15" hidden="false" customHeight="false" outlineLevel="0" collapsed="false">
      <c r="A12" s="10" t="s">
        <v>692</v>
      </c>
      <c r="B12" s="10" t="s">
        <v>107</v>
      </c>
      <c r="D12" s="55" t="n">
        <f aca="false">Model_C_Distributor!$H$102</f>
        <v>-1300000</v>
      </c>
      <c r="E12" s="55" t="n">
        <f aca="false">Model_C_Distributor!$I$102</f>
        <v>-3145932.36618973</v>
      </c>
      <c r="F12" s="55" t="n">
        <f aca="false">Model_C_Distributor!$J$102</f>
        <v>-2954809.83032984</v>
      </c>
      <c r="G12" s="53" t="n">
        <f aca="false">Model_C_Distributor!$K$102+(1-Assumptions!$C$11)*Model_C_Distributor!$K$111</f>
        <v>-2106818.90718872</v>
      </c>
      <c r="H12" s="53" t="n">
        <f aca="false">Assumptions!$C$11*Model_C_Distributor!$I$124</f>
        <v>-1593481.72466043</v>
      </c>
      <c r="I12" s="53" t="n">
        <f aca="false">Assumptions!$C$11*Model_C_Distributor!$J$124</f>
        <v>-793027.305421409</v>
      </c>
      <c r="J12" s="53" t="n">
        <f aca="false">Assumptions!$C$11*(Model_C_Distributor!$K$124+Model_C_Distributor!$K$128)</f>
        <v>3956717.40291497</v>
      </c>
      <c r="K12" s="61" t="n">
        <f aca="false">IFERROR(IF(IRR(D12:J12,0.1)&lt;-0.6,IRR(D12:J12,-0.15),IRR(D12:J12,0.1)),IFERROR(IRR(D12:J12,-0.15),"n/m"))</f>
        <v>-0.268778072867539</v>
      </c>
    </row>
    <row r="13" customFormat="false" ht="15" hidden="false" customHeight="false" outlineLevel="0" collapsed="false">
      <c r="A13" s="10" t="s">
        <v>692</v>
      </c>
      <c r="B13" s="10" t="s">
        <v>109</v>
      </c>
      <c r="D13" s="55" t="n">
        <f aca="false">Model_C_Distributor!$M$102</f>
        <v>-1300000</v>
      </c>
      <c r="E13" s="55" t="n">
        <f aca="false">Model_C_Distributor!$N$102</f>
        <v>-2870469.59597863</v>
      </c>
      <c r="F13" s="55" t="n">
        <f aca="false">Model_C_Distributor!$O$102</f>
        <v>-2215276.42878905</v>
      </c>
      <c r="G13" s="53" t="n">
        <f aca="false">Model_C_Distributor!$P$102+(1-Assumptions!$C$11)*Model_C_Distributor!$P$111</f>
        <v>-450266.758154569</v>
      </c>
      <c r="H13" s="53" t="n">
        <f aca="false">Assumptions!$C$11*Model_C_Distributor!$N$124</f>
        <v>-200278.394461899</v>
      </c>
      <c r="I13" s="53" t="n">
        <f aca="false">Assumptions!$C$11*Model_C_Distributor!$O$124</f>
        <v>382507.392090838</v>
      </c>
      <c r="J13" s="53" t="n">
        <f aca="false">Assumptions!$C$11*(Model_C_Distributor!$P$124+Model_C_Distributor!$P$128)</f>
        <v>9747698.64305927</v>
      </c>
      <c r="K13" s="61" t="n">
        <f aca="false">IFERROR(IF(IRR(D13:J13,0.1)&lt;-0.6,IRR(D13:J13,-0.15),IRR(D13:J13,0.1)),IFERROR(IRR(D13:J13,-0.15),"n/m"))</f>
        <v>0.0814930843731309</v>
      </c>
    </row>
    <row r="14" customFormat="false" ht="15" hidden="false" customHeight="false" outlineLevel="0" collapsed="false">
      <c r="A14" s="10" t="s">
        <v>693</v>
      </c>
      <c r="B14" s="10" t="s">
        <v>108</v>
      </c>
      <c r="D14" s="55" t="n">
        <f aca="false">Model_B_Plus!$C$102</f>
        <v>-1590000</v>
      </c>
      <c r="E14" s="55" t="n">
        <f aca="false">Model_B_Plus!$D$102</f>
        <v>-2762064.02543945</v>
      </c>
      <c r="F14" s="55" t="n">
        <f aca="false">Model_B_Plus!$E$102</f>
        <v>-2096498.60177183</v>
      </c>
      <c r="G14" s="53" t="n">
        <f aca="false">Model_B_Plus!$F$102+(1-Assumptions!$C$11)*Model_B_Plus!$F$111</f>
        <v>-394051.286585415</v>
      </c>
      <c r="H14" s="53" t="n">
        <f aca="false">Assumptions!$C$11*Model_B_Plus!$D$124</f>
        <v>142150.332556072</v>
      </c>
      <c r="I14" s="53" t="n">
        <f aca="false">Assumptions!$C$11*Model_B_Plus!$E$124</f>
        <v>1193480.07572474</v>
      </c>
      <c r="J14" s="53" t="n">
        <f aca="false">Assumptions!$C$11*(Model_B_Plus!$F$124+Model_B_Plus!$F$128)</f>
        <v>21601619.5870266</v>
      </c>
      <c r="K14" s="61" t="n">
        <f aca="false">IFERROR(IF(IRR(D14:J14,0.1)&lt;-0.6,IRR(D14:J14,-0.15),IRR(D14:J14,0.1)),IFERROR(IRR(D14:J14,-0.15),"n/m"))</f>
        <v>0.284799063510689</v>
      </c>
    </row>
    <row r="15" customFormat="false" ht="15" hidden="false" customHeight="false" outlineLevel="0" collapsed="false">
      <c r="A15" s="10" t="s">
        <v>693</v>
      </c>
      <c r="B15" s="10" t="s">
        <v>107</v>
      </c>
      <c r="D15" s="55" t="n">
        <f aca="false">Model_B_Plus!$H$102</f>
        <v>-1590000</v>
      </c>
      <c r="E15" s="55" t="n">
        <f aca="false">Model_B_Plus!$I$102</f>
        <v>-3065751.62838174</v>
      </c>
      <c r="F15" s="55" t="n">
        <f aca="false">Model_B_Plus!$J$102</f>
        <v>-2966084.56074692</v>
      </c>
      <c r="G15" s="53" t="n">
        <f aca="false">Model_B_Plus!$K$102+(1-Assumptions!$C$11)*Model_B_Plus!$K$111</f>
        <v>-2280811.67575223</v>
      </c>
      <c r="H15" s="53" t="n">
        <f aca="false">Assumptions!$C$11*Model_B_Plus!$I$124</f>
        <v>-1521093.2619445</v>
      </c>
      <c r="I15" s="53" t="n">
        <f aca="false">Assumptions!$C$11*Model_B_Plus!$J$124</f>
        <v>-268077.1432045</v>
      </c>
      <c r="J15" s="53" t="n">
        <f aca="false">Assumptions!$C$11*(Model_B_Plus!$K$124+Model_B_Plus!$K$128)</f>
        <v>12396969.0803655</v>
      </c>
      <c r="K15" s="61" t="n">
        <f aca="false">IFERROR(IF(IRR(D15:J15,0.1)&lt;-0.6,IRR(D15:J15,-0.15),IRR(D15:J15,0.1)),IFERROR(IRR(D15:J15,-0.15),"n/m"))</f>
        <v>0.0146645644826991</v>
      </c>
    </row>
    <row r="16" customFormat="false" ht="15" hidden="false" customHeight="false" outlineLevel="0" collapsed="false">
      <c r="A16" s="10" t="s">
        <v>693</v>
      </c>
      <c r="B16" s="10" t="s">
        <v>109</v>
      </c>
      <c r="D16" s="55" t="n">
        <f aca="false">Model_B_Plus!$M$102</f>
        <v>-1590000</v>
      </c>
      <c r="E16" s="55" t="n">
        <f aca="false">Model_B_Plus!$N$102</f>
        <v>-2617189.64011069</v>
      </c>
      <c r="F16" s="55" t="n">
        <f aca="false">Model_B_Plus!$O$102</f>
        <v>-1429975.55659607</v>
      </c>
      <c r="G16" s="53" t="n">
        <f aca="false">Model_B_Plus!$P$102+(1-Assumptions!$C$11)*Model_B_Plus!$P$111</f>
        <v>1245060.68529739</v>
      </c>
      <c r="H16" s="53" t="n">
        <f aca="false">Assumptions!$C$11*Model_B_Plus!$N$124</f>
        <v>1472430.85383315</v>
      </c>
      <c r="I16" s="53" t="n">
        <f aca="false">Assumptions!$C$11*Model_B_Plus!$O$124</f>
        <v>2503236.36394998</v>
      </c>
      <c r="J16" s="53" t="n">
        <f aca="false">Assumptions!$C$11*(Model_B_Plus!$P$124+Model_B_Plus!$P$128)</f>
        <v>29859135.878915</v>
      </c>
      <c r="K16" s="61" t="n">
        <f aca="false">IFERROR(IF(IRR(D16:J16,0.1)&lt;-0.6,IRR(D16:J16,-0.15),IRR(D16:J16,0.1)),IFERROR(IRR(D16:J16,-0.15),"n/m"))</f>
        <v>0.469923176420733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F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30"/>
    <col collapsed="false" customWidth="true" hidden="false" outlineLevel="0" max="6" min="6" style="0" width="70"/>
  </cols>
  <sheetData>
    <row r="1" customFormat="false" ht="17.35" hidden="false" customHeight="false" outlineLevel="0" collapsed="false">
      <c r="A1" s="13" t="s">
        <v>694</v>
      </c>
    </row>
    <row r="2" customFormat="false" ht="15" hidden="false" customHeight="false" outlineLevel="0" collapsed="false">
      <c r="A2" s="14" t="s">
        <v>695</v>
      </c>
    </row>
    <row r="4" customFormat="false" ht="15" hidden="false" customHeight="false" outlineLevel="0" collapsed="false">
      <c r="A4" s="4" t="s">
        <v>696</v>
      </c>
      <c r="B4" s="5"/>
      <c r="C4" s="5"/>
      <c r="D4" s="5"/>
      <c r="E4" s="5"/>
      <c r="F4" s="5"/>
    </row>
    <row r="5" customFormat="false" ht="23.85" hidden="false" customHeight="false" outlineLevel="0" collapsed="false">
      <c r="A5" s="16" t="s">
        <v>697</v>
      </c>
      <c r="B5" s="17" t="s">
        <v>698</v>
      </c>
      <c r="C5" s="17" t="s">
        <v>699</v>
      </c>
      <c r="D5" s="17" t="s">
        <v>700</v>
      </c>
      <c r="E5" s="17" t="s">
        <v>701</v>
      </c>
      <c r="F5" s="17" t="s">
        <v>702</v>
      </c>
    </row>
    <row r="6" customFormat="false" ht="49.5" hidden="false" customHeight="true" outlineLevel="0" collapsed="false">
      <c r="A6" s="64" t="s">
        <v>703</v>
      </c>
      <c r="B6" s="51" t="s">
        <v>704</v>
      </c>
      <c r="C6" s="51" t="s">
        <v>705</v>
      </c>
      <c r="D6" s="51" t="s">
        <v>706</v>
      </c>
      <c r="E6" s="51" t="s">
        <v>707</v>
      </c>
      <c r="F6" s="51"/>
    </row>
    <row r="7" customFormat="false" ht="49.5" hidden="false" customHeight="true" outlineLevel="0" collapsed="false">
      <c r="A7" s="64" t="s">
        <v>708</v>
      </c>
      <c r="B7" s="51" t="s">
        <v>709</v>
      </c>
      <c r="C7" s="51" t="s">
        <v>710</v>
      </c>
      <c r="D7" s="51" t="s">
        <v>711</v>
      </c>
      <c r="E7" s="51" t="s">
        <v>712</v>
      </c>
      <c r="F7" s="51" t="s">
        <v>713</v>
      </c>
    </row>
    <row r="8" customFormat="false" ht="49.5" hidden="false" customHeight="true" outlineLevel="0" collapsed="false">
      <c r="A8" s="64" t="s">
        <v>714</v>
      </c>
      <c r="B8" s="51" t="s">
        <v>715</v>
      </c>
      <c r="C8" s="51" t="s">
        <v>716</v>
      </c>
      <c r="D8" s="51" t="s">
        <v>717</v>
      </c>
      <c r="E8" s="51" t="s">
        <v>718</v>
      </c>
      <c r="F8" s="51"/>
    </row>
    <row r="9" customFormat="false" ht="49.5" hidden="false" customHeight="true" outlineLevel="0" collapsed="false">
      <c r="A9" s="64" t="s">
        <v>719</v>
      </c>
      <c r="B9" s="51" t="s">
        <v>720</v>
      </c>
      <c r="C9" s="51" t="s">
        <v>721</v>
      </c>
      <c r="D9" s="51" t="s">
        <v>722</v>
      </c>
      <c r="E9" s="51" t="s">
        <v>723</v>
      </c>
      <c r="F9" s="51"/>
    </row>
    <row r="10" customFormat="false" ht="49.5" hidden="false" customHeight="true" outlineLevel="0" collapsed="false">
      <c r="A10" s="64" t="s">
        <v>724</v>
      </c>
      <c r="B10" s="51" t="s">
        <v>725</v>
      </c>
      <c r="C10" s="51" t="s">
        <v>726</v>
      </c>
      <c r="D10" s="51" t="s">
        <v>727</v>
      </c>
      <c r="E10" s="51" t="s">
        <v>728</v>
      </c>
      <c r="F10" s="51"/>
    </row>
    <row r="11" customFormat="false" ht="49.5" hidden="false" customHeight="true" outlineLevel="0" collapsed="false">
      <c r="A11" s="64" t="s">
        <v>729</v>
      </c>
      <c r="B11" s="51" t="s">
        <v>730</v>
      </c>
      <c r="C11" s="51" t="s">
        <v>731</v>
      </c>
      <c r="D11" s="51" t="s">
        <v>732</v>
      </c>
      <c r="E11" s="51" t="s">
        <v>733</v>
      </c>
      <c r="F11" s="51"/>
    </row>
    <row r="12" customFormat="false" ht="49.5" hidden="false" customHeight="true" outlineLevel="0" collapsed="false">
      <c r="A12" s="64" t="s">
        <v>734</v>
      </c>
      <c r="B12" s="51" t="s">
        <v>735</v>
      </c>
      <c r="C12" s="51" t="s">
        <v>736</v>
      </c>
      <c r="D12" s="51" t="s">
        <v>737</v>
      </c>
      <c r="E12" s="51" t="s">
        <v>718</v>
      </c>
      <c r="F12" s="51"/>
    </row>
    <row r="13" customFormat="false" ht="49.5" hidden="false" customHeight="true" outlineLevel="0" collapsed="false">
      <c r="A13" s="64" t="s">
        <v>738</v>
      </c>
      <c r="B13" s="51" t="s">
        <v>739</v>
      </c>
      <c r="C13" s="51" t="s">
        <v>740</v>
      </c>
      <c r="D13" s="51" t="s">
        <v>741</v>
      </c>
      <c r="E13" s="51" t="s">
        <v>742</v>
      </c>
      <c r="F13" s="51"/>
    </row>
    <row r="14" customFormat="false" ht="49.5" hidden="false" customHeight="true" outlineLevel="0" collapsed="false">
      <c r="A14" s="64" t="s">
        <v>743</v>
      </c>
      <c r="B14" s="51" t="s">
        <v>744</v>
      </c>
      <c r="C14" s="51" t="s">
        <v>745</v>
      </c>
      <c r="D14" s="51" t="s">
        <v>746</v>
      </c>
      <c r="E14" s="51" t="s">
        <v>747</v>
      </c>
      <c r="F14" s="51"/>
    </row>
    <row r="16" customFormat="false" ht="15" hidden="false" customHeight="false" outlineLevel="0" collapsed="false">
      <c r="A16" s="4" t="s">
        <v>748</v>
      </c>
      <c r="B16" s="5"/>
      <c r="C16" s="5"/>
      <c r="D16" s="5"/>
      <c r="E16" s="5"/>
      <c r="F16" s="5"/>
    </row>
    <row r="17" customFormat="false" ht="23.85" hidden="false" customHeight="false" outlineLevel="0" collapsed="false">
      <c r="A17" s="16" t="s">
        <v>63</v>
      </c>
      <c r="B17" s="17" t="s">
        <v>698</v>
      </c>
      <c r="C17" s="17" t="s">
        <v>699</v>
      </c>
      <c r="D17" s="17" t="s">
        <v>700</v>
      </c>
      <c r="E17" s="17" t="s">
        <v>701</v>
      </c>
      <c r="F17" s="17" t="s">
        <v>702</v>
      </c>
    </row>
    <row r="18" customFormat="false" ht="15" hidden="false" customHeight="false" outlineLevel="0" collapsed="false">
      <c r="A18" s="10" t="s">
        <v>660</v>
      </c>
      <c r="B18" s="23" t="n">
        <f aca="false">Model_A_Direct!$C$132/1000000</f>
        <v>10.5817961562214</v>
      </c>
      <c r="C18" s="23" t="n">
        <f aca="false">Model_B_Partner!$C$132/1000000</f>
        <v>6.96151140984862</v>
      </c>
      <c r="D18" s="23" t="n">
        <f aca="false">Model_C_Distributor!$C$132/1000000</f>
        <v>3.47149438730863</v>
      </c>
      <c r="E18" s="23" t="n">
        <f aca="false">Model_B_Plus!$C$132/1000000</f>
        <v>8.60739837640927</v>
      </c>
      <c r="F18" s="51"/>
    </row>
    <row r="19" customFormat="false" ht="15" hidden="false" customHeight="false" outlineLevel="0" collapsed="false">
      <c r="A19" s="10" t="s">
        <v>69</v>
      </c>
      <c r="B19" s="23" t="n">
        <f aca="false">Model_A_Direct!$C$133/1000000</f>
        <v>6.39678972422137</v>
      </c>
      <c r="C19" s="23" t="n">
        <f aca="false">Model_B_Partner!$C$133/1000000</f>
        <v>4.42769213016862</v>
      </c>
      <c r="D19" s="23" t="n">
        <f aca="false">Model_C_Distributor!$C$133/1000000</f>
        <v>2.31435508810863</v>
      </c>
      <c r="E19" s="23" t="n">
        <f aca="false">Model_B_Plus!$C$133/1000000</f>
        <v>5.49380008401247</v>
      </c>
      <c r="F19" s="51"/>
    </row>
    <row r="20" customFormat="false" ht="15" hidden="false" customHeight="false" outlineLevel="0" collapsed="false">
      <c r="A20" s="10" t="s">
        <v>70</v>
      </c>
      <c r="B20" s="23" t="n">
        <f aca="false">Model_A_Direct!$C$134/1000000</f>
        <v>6.24422720963115</v>
      </c>
      <c r="C20" s="23" t="n">
        <f aca="false">Model_B_Partner!$C$134/1000000</f>
        <v>4.96396321628598</v>
      </c>
      <c r="D20" s="23" t="n">
        <f aca="false">Model_C_Distributor!$C$134/1000000</f>
        <v>2.87852083606591</v>
      </c>
      <c r="E20" s="23" t="n">
        <f aca="false">Model_B_Plus!$C$134/1000000</f>
        <v>6.25459365252034</v>
      </c>
      <c r="F20" s="51" t="s">
        <v>749</v>
      </c>
    </row>
    <row r="21" customFormat="false" ht="15" hidden="false" customHeight="false" outlineLevel="0" collapsed="false">
      <c r="A21" s="10" t="s">
        <v>71</v>
      </c>
      <c r="B21" s="27" t="n">
        <f aca="false">Model_A_Direct!$C$135</f>
        <v>201.6639</v>
      </c>
      <c r="C21" s="27" t="n">
        <f aca="false">Model_B_Partner!$C$135</f>
        <v>290.84064</v>
      </c>
      <c r="D21" s="27" t="n">
        <f aca="false">Model_C_Distributor!$C$135</f>
        <v>352.76704</v>
      </c>
      <c r="E21" s="27" t="n">
        <f aca="false">Model_B_Plus!$C$135</f>
        <v>349.008768</v>
      </c>
      <c r="F21" s="51"/>
    </row>
    <row r="22" customFormat="false" ht="15" hidden="false" customHeight="false" outlineLevel="0" collapsed="false">
      <c r="A22" s="10" t="s">
        <v>72</v>
      </c>
      <c r="B22" s="23" t="n">
        <f aca="false">Model_A_Direct!$C$136/1000000</f>
        <v>-3.38617276709039</v>
      </c>
      <c r="C22" s="23" t="n">
        <f aca="false">Model_B_Partner!$C$136/1000000</f>
        <v>-2.07653119418919</v>
      </c>
      <c r="D22" s="23" t="n">
        <f aca="false">Model_C_Distributor!$C$136/1000000</f>
        <v>-1.31408140378777</v>
      </c>
      <c r="E22" s="23" t="n">
        <f aca="false">Model_B_Plus!$C$136/1000000</f>
        <v>-0.612319868957486</v>
      </c>
      <c r="F22" s="51"/>
    </row>
    <row r="23" customFormat="false" ht="15" hidden="false" customHeight="false" outlineLevel="0" collapsed="false">
      <c r="A23" s="10" t="s">
        <v>73</v>
      </c>
      <c r="B23" s="28" t="n">
        <f aca="false">Model_A_Direct!$C$137</f>
        <v>-0.529355022296369</v>
      </c>
      <c r="C23" s="28" t="n">
        <f aca="false">Model_B_Partner!$C$137</f>
        <v>-0.468987258630855</v>
      </c>
      <c r="D23" s="28" t="n">
        <f aca="false">Model_C_Distributor!$C$137</f>
        <v>-0.567795931808235</v>
      </c>
      <c r="E23" s="28" t="n">
        <f aca="false">Model_B_Plus!$C$137</f>
        <v>-0.111456525463932</v>
      </c>
      <c r="F23" s="51"/>
    </row>
    <row r="24" customFormat="false" ht="15" hidden="false" customHeight="false" outlineLevel="0" collapsed="false">
      <c r="A24" s="10" t="s">
        <v>74</v>
      </c>
      <c r="B24" s="29" t="str">
        <f aca="false">Model_A_Direct!$C$138</f>
        <v>After Year 3</v>
      </c>
      <c r="C24" s="29" t="str">
        <f aca="false">Model_B_Partner!$C$138</f>
        <v>After Year 3</v>
      </c>
      <c r="D24" s="29" t="str">
        <f aca="false">Model_C_Distributor!$C$138</f>
        <v>After Year 3</v>
      </c>
      <c r="E24" s="29" t="str">
        <f aca="false">Model_B_Plus!$C$138</f>
        <v>After Year 3</v>
      </c>
      <c r="F24" s="51"/>
    </row>
    <row r="25" customFormat="false" ht="15" hidden="false" customHeight="false" outlineLevel="0" collapsed="false">
      <c r="A25" s="10" t="s">
        <v>750</v>
      </c>
      <c r="B25" s="23" t="n">
        <f aca="false">Model_A_Direct!$C$140/1000000</f>
        <v>13.5366390825623</v>
      </c>
      <c r="C25" s="23" t="n">
        <f aca="false">Model_B_Partner!$C$140/1000000</f>
        <v>10.1824069489916</v>
      </c>
      <c r="D25" s="23" t="n">
        <f aca="false">Model_C_Distributor!$C$140/1000000</f>
        <v>7.92570064255394</v>
      </c>
      <c r="E25" s="23" t="n">
        <f aca="false">Model_B_Plus!$C$140/1000000</f>
        <v>6.8426139137967</v>
      </c>
      <c r="F25" s="51" t="s">
        <v>751</v>
      </c>
    </row>
    <row r="26" customFormat="false" ht="15" hidden="false" customHeight="false" outlineLevel="0" collapsed="false">
      <c r="A26" s="10" t="s">
        <v>752</v>
      </c>
      <c r="B26" s="23" t="n">
        <f aca="false">Model_A_Direct!$C$141/1000000</f>
        <v>15.8063371082181</v>
      </c>
      <c r="C26" s="23" t="n">
        <f aca="false">Model_B_Partner!$C$141/1000000</f>
        <v>11.3082968501682</v>
      </c>
      <c r="D26" s="23" t="n">
        <f aca="false">Model_C_Distributor!$C$141/1000000</f>
        <v>8.89518947629264</v>
      </c>
      <c r="E26" s="23" t="n">
        <f aca="false">Model_B_Plus!$C$141/1000000</f>
        <v>6.8426139137967</v>
      </c>
      <c r="F26" s="51" t="s">
        <v>753</v>
      </c>
    </row>
    <row r="27" customFormat="false" ht="15" hidden="false" customHeight="false" outlineLevel="0" collapsed="false">
      <c r="A27" s="10" t="s">
        <v>754</v>
      </c>
      <c r="B27" s="23" t="n">
        <f aca="false">Model_A_Direct!$C$142/1000000</f>
        <v>6.09519712842466</v>
      </c>
      <c r="C27" s="23" t="n">
        <f aca="false">Model_B_Partner!$C$142/1000000</f>
        <v>5.14941144736986</v>
      </c>
      <c r="D27" s="23" t="n">
        <f aca="false">Model_C_Distributor!$C$142/1000000</f>
        <v>4.23078899636986</v>
      </c>
      <c r="E27" s="23" t="n">
        <f aca="false">Model_B_Plus!$C$142/1000000</f>
        <v>4.35206402543945</v>
      </c>
      <c r="F27" s="51" t="s">
        <v>755</v>
      </c>
    </row>
    <row r="28" customFormat="false" ht="15" hidden="false" customHeight="false" outlineLevel="0" collapsed="false">
      <c r="A28" s="10" t="s">
        <v>78</v>
      </c>
      <c r="B28" s="23" t="n">
        <f aca="false">Model_A_Direct!$C$143/1000000</f>
        <v>-11.2802371040493</v>
      </c>
      <c r="C28" s="23" t="n">
        <f aca="false">Model_B_Partner!$C$143/1000000</f>
        <v>-8.61769162840575</v>
      </c>
      <c r="D28" s="23" t="n">
        <f aca="false">Model_C_Distributor!$C$143/1000000</f>
        <v>-6.76032264399038</v>
      </c>
      <c r="E28" s="23" t="n">
        <f aca="false">Model_B_Plus!$C$143/1000000</f>
        <v>-6.00792236618611</v>
      </c>
      <c r="F28" s="51" t="s">
        <v>756</v>
      </c>
    </row>
    <row r="29" customFormat="false" ht="15" hidden="false" customHeight="false" outlineLevel="0" collapsed="false">
      <c r="A29" s="10" t="s">
        <v>757</v>
      </c>
      <c r="B29" s="23" t="n">
        <f aca="false">Model_A_Direct!$C$144/1000000</f>
        <v>8.65632745463581</v>
      </c>
      <c r="C29" s="23" t="n">
        <f aca="false">Model_B_Partner!$C$144/1000000</f>
        <v>8.09970261701366</v>
      </c>
      <c r="D29" s="23" t="n">
        <f aca="false">Model_C_Distributor!$C$144/1000000</f>
        <v>2.88033924059945</v>
      </c>
      <c r="E29" s="23" t="n">
        <f aca="false">Model_B_Plus!$C$144/1000000</f>
        <v>11.7116045035432</v>
      </c>
      <c r="F29" s="51" t="s">
        <v>758</v>
      </c>
    </row>
    <row r="30" customFormat="false" ht="15" hidden="false" customHeight="false" outlineLevel="0" collapsed="false">
      <c r="A30" s="10" t="s">
        <v>759</v>
      </c>
      <c r="B30" s="23" t="n">
        <f aca="false">Model_A_Direct!$C$146/1000000</f>
        <v>-2.62390964941347</v>
      </c>
      <c r="C30" s="23" t="n">
        <f aca="false">Model_B_Partner!$C$146/1000000</f>
        <v>-0.517989011392097</v>
      </c>
      <c r="D30" s="23" t="n">
        <f aca="false">Model_C_Distributor!$C$146/1000000</f>
        <v>-3.87998340339093</v>
      </c>
      <c r="E30" s="23" t="n">
        <f aca="false">Model_B_Plus!$C$146/1000000</f>
        <v>5.70368213735708</v>
      </c>
      <c r="F30" s="51" t="s">
        <v>760</v>
      </c>
    </row>
    <row r="31" customFormat="false" ht="15" hidden="false" customHeight="false" outlineLevel="0" collapsed="false">
      <c r="A31" s="10" t="s">
        <v>761</v>
      </c>
      <c r="B31" s="23" t="n">
        <f aca="false">Model_A_Direct!$C$145/1000000</f>
        <v>-4.60023383368768</v>
      </c>
      <c r="C31" s="23" t="n">
        <f aca="false">Model_B_Partner!$C$145/1000000</f>
        <v>-2.86476760391907</v>
      </c>
      <c r="D31" s="23" t="n">
        <f aca="false">Model_C_Distributor!$C$145/1000000</f>
        <v>-4.4507659983258</v>
      </c>
      <c r="E31" s="23" t="n">
        <f aca="false">Model_B_Plus!$C$145/1000000</f>
        <v>1.24076190466711</v>
      </c>
      <c r="F31" s="51" t="s">
        <v>762</v>
      </c>
    </row>
    <row r="32" customFormat="false" ht="15" hidden="false" customHeight="false" outlineLevel="0" collapsed="false">
      <c r="A32" s="10" t="s">
        <v>669</v>
      </c>
      <c r="B32" s="28" t="n">
        <f aca="false">Model_A_Direct!$C$147</f>
        <v>0.0588577787559834</v>
      </c>
      <c r="C32" s="28" t="n">
        <f aca="false">Model_B_Partner!$C$147</f>
        <v>0.105425947921034</v>
      </c>
      <c r="D32" s="28" t="n">
        <f aca="false">Model_C_Distributor!$C$147</f>
        <v>-0.059142007073833</v>
      </c>
      <c r="E32" s="28" t="n">
        <f aca="false">Model_B_Plus!$C$147</f>
        <v>0.284799063510689</v>
      </c>
      <c r="F32" s="51" t="s">
        <v>763</v>
      </c>
    </row>
    <row r="33" customFormat="false" ht="15" hidden="false" customHeight="false" outlineLevel="0" collapsed="false">
      <c r="A33" s="10" t="s">
        <v>83</v>
      </c>
      <c r="B33" s="30" t="n">
        <f aca="false">Model_A_Direct!$C$148</f>
        <v>-0.166003649767107</v>
      </c>
      <c r="C33" s="30" t="n">
        <f aca="false">Model_B_Partner!$C$148</f>
        <v>-0.0458061030989288</v>
      </c>
      <c r="D33" s="30" t="n">
        <f aca="false">Model_C_Distributor!$C$148</f>
        <v>-0.436188955134887</v>
      </c>
      <c r="E33" s="30" t="n">
        <f aca="false">Model_B_Plus!$C$148</f>
        <v>0.833553114235599</v>
      </c>
      <c r="F33" s="51"/>
    </row>
    <row r="34" customFormat="false" ht="15" hidden="false" customHeight="false" outlineLevel="0" collapsed="false">
      <c r="A34" s="10" t="s">
        <v>672</v>
      </c>
      <c r="B34" s="31" t="n">
        <f aca="false">Model_A_Direct!$C$150</f>
        <v>-6.16618767612165</v>
      </c>
      <c r="C34" s="31" t="n">
        <f aca="false">Model_B_Partner!$C$150</f>
        <v>-1.21727417677143</v>
      </c>
      <c r="D34" s="31" t="n">
        <f aca="false">Model_C_Distributor!$C$150</f>
        <v>-9.11796099796868</v>
      </c>
      <c r="E34" s="31" t="n">
        <f aca="false">Model_B_Plus!$C$150</f>
        <v>13.4036530227891</v>
      </c>
      <c r="F34" s="51" t="s">
        <v>764</v>
      </c>
    </row>
    <row r="36" customFormat="false" ht="15" hidden="false" customHeight="false" outlineLevel="0" collapsed="false">
      <c r="A36" s="4" t="s">
        <v>765</v>
      </c>
      <c r="B36" s="5"/>
      <c r="C36" s="5"/>
      <c r="D36" s="5"/>
      <c r="E36" s="5"/>
      <c r="F36" s="5"/>
    </row>
    <row r="37" customFormat="false" ht="23.85" hidden="false" customHeight="false" outlineLevel="0" collapsed="false">
      <c r="A37" s="16" t="s">
        <v>63</v>
      </c>
      <c r="B37" s="17" t="s">
        <v>698</v>
      </c>
      <c r="C37" s="17" t="s">
        <v>699</v>
      </c>
      <c r="D37" s="17" t="s">
        <v>700</v>
      </c>
      <c r="E37" s="17" t="s">
        <v>701</v>
      </c>
      <c r="F37" s="17" t="s">
        <v>702</v>
      </c>
    </row>
    <row r="38" customFormat="false" ht="15" hidden="false" customHeight="false" outlineLevel="0" collapsed="false">
      <c r="A38" s="10" t="s">
        <v>766</v>
      </c>
      <c r="B38" s="23" t="n">
        <f aca="false">Model_A_Direct!$H$146/1000000</f>
        <v>-11.6698767997056</v>
      </c>
      <c r="C38" s="23" t="n">
        <f aca="false">Model_B_Partner!$H$146/1000000</f>
        <v>-7.83627622430999</v>
      </c>
      <c r="D38" s="23" t="n">
        <f aca="false">Model_C_Distributor!$H$146/1000000</f>
        <v>-7.4220918340443</v>
      </c>
      <c r="E38" s="23" t="n">
        <f aca="false">Model_B_Plus!$H$146/1000000</f>
        <v>-3.15336548451317</v>
      </c>
    </row>
    <row r="39" customFormat="false" ht="15" hidden="false" customHeight="false" outlineLevel="0" collapsed="false">
      <c r="A39" s="10" t="s">
        <v>767</v>
      </c>
      <c r="B39" s="23" t="n">
        <f aca="false">Model_A_Direct!$C$146/1000000</f>
        <v>-2.62390964941347</v>
      </c>
      <c r="C39" s="23" t="n">
        <f aca="false">Model_B_Partner!$C$146/1000000</f>
        <v>-0.517989011392097</v>
      </c>
      <c r="D39" s="23" t="n">
        <f aca="false">Model_C_Distributor!$C$146/1000000</f>
        <v>-3.87998340339093</v>
      </c>
      <c r="E39" s="23" t="n">
        <f aca="false">Model_B_Plus!$C$146/1000000</f>
        <v>5.70368213735708</v>
      </c>
    </row>
    <row r="40" customFormat="false" ht="15" hidden="false" customHeight="false" outlineLevel="0" collapsed="false">
      <c r="A40" s="10" t="s">
        <v>768</v>
      </c>
      <c r="B40" s="23" t="n">
        <f aca="false">Model_A_Direct!$M$146/1000000</f>
        <v>5.19706754024642</v>
      </c>
      <c r="C40" s="23" t="n">
        <f aca="false">Model_B_Partner!$M$146/1000000</f>
        <v>5.88597812329097</v>
      </c>
      <c r="D40" s="23" t="n">
        <f aca="false">Model_C_Distributor!$M$146/1000000</f>
        <v>-0.92116315411834</v>
      </c>
      <c r="E40" s="23" t="n">
        <f aca="false">Model_B_Plus!$M$146/1000000</f>
        <v>13.3031928336225</v>
      </c>
    </row>
    <row r="41" customFormat="false" ht="15" hidden="false" customHeight="false" outlineLevel="0" collapsed="false">
      <c r="A41" s="10" t="s">
        <v>769</v>
      </c>
      <c r="B41" s="28" t="n">
        <f aca="false">Assumptions!$C$44</f>
        <v>0.35</v>
      </c>
      <c r="C41" s="28" t="n">
        <f aca="false">Assumptions!$C$45</f>
        <v>0.25</v>
      </c>
      <c r="D41" s="28" t="n">
        <f aca="false">Assumptions!$C$46</f>
        <v>0.3</v>
      </c>
      <c r="E41" s="28" t="n">
        <f aca="false">Assumptions!$C$47</f>
        <v>0.25</v>
      </c>
    </row>
    <row r="42" customFormat="false" ht="15" hidden="false" customHeight="false" outlineLevel="0" collapsed="false">
      <c r="A42" s="10" t="s">
        <v>770</v>
      </c>
      <c r="B42" s="28" t="n">
        <f aca="false">Assumptions!$D$44</f>
        <v>0.5</v>
      </c>
      <c r="C42" s="28" t="n">
        <f aca="false">Assumptions!$D$45</f>
        <v>0.55</v>
      </c>
      <c r="D42" s="28" t="n">
        <f aca="false">Assumptions!$D$46</f>
        <v>0.55</v>
      </c>
      <c r="E42" s="28" t="n">
        <f aca="false">Assumptions!$D$47</f>
        <v>0.55</v>
      </c>
    </row>
    <row r="43" customFormat="false" ht="15" hidden="false" customHeight="false" outlineLevel="0" collapsed="false">
      <c r="A43" s="10" t="s">
        <v>771</v>
      </c>
      <c r="B43" s="28" t="n">
        <f aca="false">Assumptions!$E$44</f>
        <v>0.15</v>
      </c>
      <c r="C43" s="28" t="n">
        <f aca="false">Assumptions!$E$45</f>
        <v>0.2</v>
      </c>
      <c r="D43" s="28" t="n">
        <f aca="false">Assumptions!$E$46</f>
        <v>0.15</v>
      </c>
      <c r="E43" s="28" t="n">
        <f aca="false">Assumptions!$E$47</f>
        <v>0.2</v>
      </c>
    </row>
    <row r="44" customFormat="false" ht="15" hidden="false" customHeight="false" outlineLevel="0" collapsed="false">
      <c r="A44" s="10" t="s">
        <v>772</v>
      </c>
      <c r="B44" s="84" t="n">
        <f aca="false">SUM(B41:B43)</f>
        <v>1</v>
      </c>
      <c r="C44" s="84" t="n">
        <f aca="false">SUM(C41:C43)</f>
        <v>1</v>
      </c>
      <c r="D44" s="84" t="n">
        <f aca="false">SUM(D41:D43)</f>
        <v>1</v>
      </c>
      <c r="E44" s="84" t="n">
        <f aca="false">SUM(E41:E43)</f>
        <v>1</v>
      </c>
    </row>
    <row r="45" customFormat="false" ht="15" hidden="false" customHeight="false" outlineLevel="0" collapsed="false">
      <c r="A45" s="7" t="s">
        <v>773</v>
      </c>
      <c r="B45" s="85" t="n">
        <f aca="false">B38*B41+B39*B42+B40*B43</f>
        <v>-4.61685157356673</v>
      </c>
      <c r="C45" s="85" t="n">
        <f aca="false">C38*C41+C39*C42+C40*C43</f>
        <v>-1.06676738768496</v>
      </c>
      <c r="D45" s="85" t="n">
        <f aca="false">D38*D41+D39*D42+D40*D43</f>
        <v>-4.49879289519605</v>
      </c>
      <c r="E45" s="85" t="n">
        <f aca="false">E38*E41+E39*E42+E40*E43</f>
        <v>5.00932237114259</v>
      </c>
      <c r="F45" s="51" t="s">
        <v>774</v>
      </c>
    </row>
    <row r="46" customFormat="false" ht="15" hidden="false" customHeight="false" outlineLevel="0" collapsed="false">
      <c r="A46" s="10" t="s">
        <v>775</v>
      </c>
      <c r="B46" s="23" t="n">
        <f aca="false">(Model_A_Direct!$H$102+Model_A_Direct!$I$102/(1+Assumptions!$C$8))*(1+Assumptions!$C$34)/1000000</f>
        <v>-6.58216876331871</v>
      </c>
      <c r="C46" s="23" t="n">
        <f aca="false">(Model_B_Partner!$H$102+Model_B_Partner!$I$102/(1+Assumptions!$C$8))*(1+Assumptions!$C$34)/1000000</f>
        <v>-5.54840866228716</v>
      </c>
      <c r="D46" s="23" t="n">
        <f aca="false">(Model_C_Distributor!$H$102+Model_C_Distributor!$I$102/(1+Assumptions!$C$8))*(1+Assumptions!$C$34)/1000000</f>
        <v>-4.51975500250777</v>
      </c>
      <c r="E46" s="23" t="n">
        <f aca="false">(Model_B_Plus!$H$102+Model_B_Plus!$I$102/(1+Assumptions!$C$8))*(1+Assumptions!$C$34)/1000000</f>
        <v>-4.76000606358921</v>
      </c>
      <c r="F46" s="51" t="s">
        <v>776</v>
      </c>
    </row>
    <row r="47" customFormat="false" ht="15" hidden="false" customHeight="false" outlineLevel="0" collapsed="false">
      <c r="A47" s="10" t="s">
        <v>777</v>
      </c>
      <c r="B47" s="23" t="n">
        <f aca="false">MAX(B38,Assumptions!$C$33*B46+(1-Assumptions!$C$33)*B38)</f>
        <v>-7.59971037059608</v>
      </c>
      <c r="C47" s="23" t="n">
        <f aca="false">MAX(C38,Assumptions!$C$33*C46+(1-Assumptions!$C$33)*C38)</f>
        <v>-6.00598217469173</v>
      </c>
      <c r="D47" s="23" t="n">
        <f aca="false">MAX(D38,Assumptions!$C$33*D46+(1-Assumptions!$C$33)*D38)</f>
        <v>-5.10022236881507</v>
      </c>
      <c r="E47" s="23" t="n">
        <f aca="false">MAX(E38,Assumptions!$C$33*E46+(1-Assumptions!$C$33)*E38)</f>
        <v>-3.15336548451317</v>
      </c>
    </row>
    <row r="48" customFormat="false" ht="22.35" hidden="false" customHeight="false" outlineLevel="0" collapsed="false">
      <c r="A48" s="7" t="s">
        <v>93</v>
      </c>
      <c r="B48" s="85" t="n">
        <f aca="false">B47*B41+B39*B42+B40*B43</f>
        <v>-3.1922933233784</v>
      </c>
      <c r="C48" s="85" t="n">
        <f aca="false">C47*C41+C39*C42+C40*C43</f>
        <v>-0.60919387528039</v>
      </c>
      <c r="D48" s="85" t="n">
        <f aca="false">D47*D41+D39*D42+D40*D43</f>
        <v>-3.80223205562728</v>
      </c>
      <c r="E48" s="85" t="n">
        <f aca="false">E47*E41+E39*E42+E40*E43</f>
        <v>5.00932237114259</v>
      </c>
      <c r="F48" s="51" t="s">
        <v>778</v>
      </c>
    </row>
    <row r="49" customFormat="false" ht="22.35" hidden="false" customHeight="false" outlineLevel="0" collapsed="false">
      <c r="A49" s="7" t="s">
        <v>779</v>
      </c>
      <c r="E49" s="85" t="n">
        <f aca="false">Assumptions!$C$35*E45+(1-Assumptions!$C$35)*C48</f>
        <v>2.2000642479311</v>
      </c>
      <c r="F49" s="51" t="s">
        <v>780</v>
      </c>
    </row>
    <row r="50" customFormat="false" ht="15" hidden="false" customHeight="false" outlineLevel="0" collapsed="false">
      <c r="A50" s="10" t="s">
        <v>94</v>
      </c>
      <c r="B50" s="84" t="n">
        <f aca="false">IF(B38&lt;0,B41,0)+IF(B39&lt;0,B42,0)+IF(B40&lt;0,B43,0)</f>
        <v>0.85</v>
      </c>
      <c r="C50" s="84" t="n">
        <f aca="false">IF(C38&lt;0,C41,0)+IF(C39&lt;0,C42,0)+IF(C40&lt;0,C43,0)</f>
        <v>0.8</v>
      </c>
      <c r="D50" s="84" t="n">
        <f aca="false">IF(D38&lt;0,D41,0)+IF(D39&lt;0,D42,0)+IF(D40&lt;0,D43,0)</f>
        <v>1</v>
      </c>
      <c r="E50" s="84" t="n">
        <f aca="false">IF(E38&lt;0,E41,0)+IF(E39&lt;0,E42,0)+IF(E40&lt;0,E43,0)</f>
        <v>0.25</v>
      </c>
    </row>
    <row r="51" customFormat="false" ht="15" hidden="false" customHeight="false" outlineLevel="0" collapsed="false">
      <c r="A51" s="10" t="s">
        <v>781</v>
      </c>
      <c r="B51" s="23" t="n">
        <f aca="false">(Model_A_Direct!$H$141*B41+Model_A_Direct!$C$141*B42+Model_A_Direct!$M$141*B43)/1000000</f>
        <v>17.6062780578814</v>
      </c>
      <c r="C51" s="23" t="n">
        <f aca="false">(Model_B_Partner!$H$141*C41+Model_B_Partner!$C$141*C42+Model_B_Partner!$M$141*C43)/1000000</f>
        <v>11.9680588901332</v>
      </c>
      <c r="D51" s="23" t="n">
        <f aca="false">(Model_C_Distributor!$H$141*D41+Model_C_Distributor!$C$141*D42+Model_C_Distributor!$M$141*D43)/1000000</f>
        <v>9.51601892870561</v>
      </c>
      <c r="E51" s="23" t="n">
        <f aca="false">(Model_B_Plus!$H$141*E41+Model_B_Plus!$C$141*E42+Model_B_Plus!$M$141*E43)/1000000</f>
        <v>7.81382525943701</v>
      </c>
    </row>
    <row r="52" customFormat="false" ht="15" hidden="false" customHeight="false" outlineLevel="0" collapsed="false">
      <c r="A52" s="10" t="s">
        <v>782</v>
      </c>
      <c r="B52" s="23" t="n">
        <f aca="false">Model_A_Direct!$H$141/1000000</f>
        <v>22.7698584573639</v>
      </c>
      <c r="C52" s="23" t="n">
        <f aca="false">Model_B_Partner!$H$141/1000000</f>
        <v>16.4006525246234</v>
      </c>
      <c r="D52" s="23" t="n">
        <f aca="false">Model_C_Distributor!$H$141/1000000</f>
        <v>11.8940701337901</v>
      </c>
      <c r="E52" s="23" t="n">
        <f aca="false">Model_B_Plus!$H$141/1000000</f>
        <v>11.6918182700299</v>
      </c>
    </row>
    <row r="53" customFormat="false" ht="15" hidden="false" customHeight="false" outlineLevel="0" collapsed="false">
      <c r="A53" s="10" t="s">
        <v>783</v>
      </c>
      <c r="B53" s="86" t="n">
        <f aca="false">IF(B51=0,0,B45/B51)</f>
        <v>-0.262227573504668</v>
      </c>
      <c r="C53" s="86" t="n">
        <f aca="false">IF(C51=0,0,C45/C51)</f>
        <v>-0.0891345369769557</v>
      </c>
      <c r="D53" s="86" t="n">
        <f aca="false">IF(D51=0,0,D45/D51)</f>
        <v>-0.472759977560069</v>
      </c>
      <c r="E53" s="86" t="n">
        <f aca="false">IF(E51=0,0,E45/E51)</f>
        <v>0.641084514283535</v>
      </c>
    </row>
    <row r="54" customFormat="false" ht="15" hidden="false" customHeight="false" outlineLevel="0" collapsed="false">
      <c r="A54" s="10" t="s">
        <v>784</v>
      </c>
      <c r="B54" s="87" t="n">
        <f aca="false">B45*1000000*Assumptions!$C$7/10000000</f>
        <v>-10.8496011978818</v>
      </c>
      <c r="C54" s="87" t="n">
        <f aca="false">C45*1000000*Assumptions!$C$7/10000000</f>
        <v>-2.50690336105965</v>
      </c>
      <c r="D54" s="87" t="n">
        <f aca="false">D45*1000000*Assumptions!$C$7/10000000</f>
        <v>-10.5721633037107</v>
      </c>
      <c r="E54" s="87" t="n">
        <f aca="false">E45*1000000*Assumptions!$C$7/10000000</f>
        <v>11.7719075721851</v>
      </c>
    </row>
    <row r="56" customFormat="false" ht="15" hidden="false" customHeight="false" outlineLevel="0" collapsed="false">
      <c r="A56" s="4" t="s">
        <v>785</v>
      </c>
      <c r="B56" s="5"/>
      <c r="C56" s="5"/>
      <c r="D56" s="5"/>
      <c r="E56" s="5"/>
    </row>
    <row r="57" customFormat="false" ht="15" hidden="false" customHeight="false" outlineLevel="0" collapsed="false">
      <c r="A57" s="16" t="s">
        <v>786</v>
      </c>
      <c r="B57" s="17" t="s">
        <v>698</v>
      </c>
      <c r="C57" s="17" t="s">
        <v>699</v>
      </c>
      <c r="D57" s="17" t="s">
        <v>700</v>
      </c>
      <c r="E57" s="17" t="s">
        <v>787</v>
      </c>
    </row>
    <row r="58" customFormat="false" ht="15" hidden="false" customHeight="false" outlineLevel="0" collapsed="false">
      <c r="A58" s="10" t="s">
        <v>788</v>
      </c>
      <c r="B58" s="87" t="n">
        <f aca="false">IF(MAX($B$45:$D$45)=MIN($B$45:$D$45),3,1+4*(B45-MIN($B$45:$D$45))/(MAX($B$45:$D$45)-MIN($B$45:$D$45)))</f>
        <v>1</v>
      </c>
      <c r="C58" s="87" t="n">
        <f aca="false">IF(MAX($B$45:$D$45)=MIN($B$45:$D$45),3,1+4*(C45-MIN($B$45:$D$45))/(MAX($B$45:$D$45)-MIN($B$45:$D$45)))</f>
        <v>5</v>
      </c>
      <c r="D58" s="87" t="n">
        <f aca="false">IF(MAX($B$45:$D$45)=MIN($B$45:$D$45),3,1+4*(D45-MIN($B$45:$D$45))/(MAX($B$45:$D$45)-MIN($B$45:$D$45)))</f>
        <v>1.13302070845551</v>
      </c>
      <c r="E58" s="88" t="n">
        <v>0.25</v>
      </c>
    </row>
    <row r="59" customFormat="false" ht="15" hidden="false" customHeight="false" outlineLevel="0" collapsed="false">
      <c r="A59" s="10" t="s">
        <v>789</v>
      </c>
      <c r="B59" s="87" t="n">
        <f aca="false">IF(MAX($B$51:$D$51)=MIN($B$51:$D$51),3,5-4*(B51-MIN($B$51:$D$51))/(MAX($B$51:$D$51)-MIN($B$51:$D$51)))</f>
        <v>1</v>
      </c>
      <c r="C59" s="87" t="n">
        <f aca="false">IF(MAX($B$51:$D$51)=MIN($B$51:$D$51),3,5-4*(C51-MIN($B$51:$D$51))/(MAX($B$51:$D$51)-MIN($B$51:$D$51)))</f>
        <v>3.78765813441758</v>
      </c>
      <c r="D59" s="87" t="n">
        <f aca="false">IF(MAX($B$51:$D$51)=MIN($B$51:$D$51),3,5-4*(D51-MIN($B$51:$D$51))/(MAX($B$51:$D$51)-MIN($B$51:$D$51)))</f>
        <v>5</v>
      </c>
      <c r="E59" s="88" t="n">
        <v>0.15</v>
      </c>
    </row>
    <row r="60" customFormat="false" ht="15" hidden="false" customHeight="false" outlineLevel="0" collapsed="false">
      <c r="A60" s="10" t="s">
        <v>790</v>
      </c>
      <c r="B60" s="89" t="n">
        <v>2</v>
      </c>
      <c r="C60" s="89" t="n">
        <v>4</v>
      </c>
      <c r="D60" s="89" t="n">
        <v>4</v>
      </c>
      <c r="E60" s="88" t="n">
        <v>0.1</v>
      </c>
    </row>
    <row r="61" customFormat="false" ht="15" hidden="false" customHeight="false" outlineLevel="0" collapsed="false">
      <c r="A61" s="10" t="s">
        <v>791</v>
      </c>
      <c r="B61" s="89" t="n">
        <v>5</v>
      </c>
      <c r="C61" s="89" t="n">
        <v>3</v>
      </c>
      <c r="D61" s="89" t="n">
        <v>2</v>
      </c>
      <c r="E61" s="88" t="n">
        <v>0.1</v>
      </c>
    </row>
    <row r="62" customFormat="false" ht="15" hidden="false" customHeight="false" outlineLevel="0" collapsed="false">
      <c r="A62" s="10" t="s">
        <v>792</v>
      </c>
      <c r="B62" s="89" t="n">
        <v>4</v>
      </c>
      <c r="C62" s="89" t="n">
        <v>4</v>
      </c>
      <c r="D62" s="89" t="n">
        <v>2</v>
      </c>
      <c r="E62" s="88" t="n">
        <v>0.1</v>
      </c>
    </row>
    <row r="63" customFormat="false" ht="15" hidden="false" customHeight="false" outlineLevel="0" collapsed="false">
      <c r="A63" s="10" t="s">
        <v>793</v>
      </c>
      <c r="B63" s="89" t="n">
        <v>3</v>
      </c>
      <c r="C63" s="89" t="n">
        <v>4</v>
      </c>
      <c r="D63" s="89" t="n">
        <v>3</v>
      </c>
      <c r="E63" s="88" t="n">
        <v>0.1</v>
      </c>
    </row>
    <row r="64" customFormat="false" ht="15" hidden="false" customHeight="false" outlineLevel="0" collapsed="false">
      <c r="A64" s="10" t="s">
        <v>794</v>
      </c>
      <c r="B64" s="89" t="n">
        <v>2</v>
      </c>
      <c r="C64" s="89" t="n">
        <v>3</v>
      </c>
      <c r="D64" s="89" t="n">
        <v>4</v>
      </c>
      <c r="E64" s="88" t="n">
        <v>0.1</v>
      </c>
    </row>
    <row r="65" customFormat="false" ht="15" hidden="false" customHeight="false" outlineLevel="0" collapsed="false">
      <c r="A65" s="10" t="s">
        <v>795</v>
      </c>
      <c r="B65" s="89" t="n">
        <v>2</v>
      </c>
      <c r="C65" s="89" t="n">
        <v>4</v>
      </c>
      <c r="D65" s="89" t="n">
        <v>4</v>
      </c>
      <c r="E65" s="88" t="n">
        <v>0.1</v>
      </c>
    </row>
    <row r="66" customFormat="false" ht="15" hidden="false" customHeight="false" outlineLevel="0" collapsed="false">
      <c r="A66" s="10" t="s">
        <v>796</v>
      </c>
      <c r="E66" s="90" t="n">
        <f aca="false">SUM(E58:E65)</f>
        <v>1</v>
      </c>
    </row>
    <row r="67" customFormat="false" ht="15" hidden="false" customHeight="false" outlineLevel="0" collapsed="false">
      <c r="A67" s="7" t="s">
        <v>797</v>
      </c>
      <c r="B67" s="91" t="n">
        <f aca="false">SUMPRODUCT(B58:B65,$E$58:$E$65)/$E$66</f>
        <v>2.2</v>
      </c>
      <c r="C67" s="91" t="n">
        <f aca="false">SUMPRODUCT(C58:C65,$E$58:$E$65)/$E$66</f>
        <v>4.01814872016264</v>
      </c>
      <c r="D67" s="91" t="n">
        <f aca="false">SUMPRODUCT(D58:D65,$E$58:$E$65)/$E$66</f>
        <v>2.93325517711388</v>
      </c>
    </row>
    <row r="68" customFormat="false" ht="15" hidden="false" customHeight="false" outlineLevel="0" collapsed="false">
      <c r="A68" s="10" t="s">
        <v>414</v>
      </c>
      <c r="B68" s="92" t="n">
        <f aca="false">RANK(B67,$B$67:$D$67)</f>
        <v>3</v>
      </c>
      <c r="C68" s="92" t="n">
        <f aca="false">RANK(C67,$B$67:$D$67)</f>
        <v>1</v>
      </c>
      <c r="D68" s="92" t="n">
        <f aca="false">RANK(D67,$B$67:$D$67)</f>
        <v>2</v>
      </c>
    </row>
    <row r="70" customFormat="false" ht="15" hidden="false" customHeight="false" outlineLevel="0" collapsed="false">
      <c r="A70" s="4" t="s">
        <v>798</v>
      </c>
      <c r="B70" s="5"/>
      <c r="C70" s="5"/>
      <c r="D70" s="5"/>
      <c r="E70" s="5"/>
    </row>
    <row r="71" customFormat="false" ht="15" hidden="false" customHeight="false" outlineLevel="0" collapsed="false">
      <c r="A71" s="93" t="s">
        <v>799</v>
      </c>
      <c r="B71" s="93" t="s">
        <v>698</v>
      </c>
      <c r="C71" s="93" t="s">
        <v>699</v>
      </c>
      <c r="D71" s="93" t="s">
        <v>700</v>
      </c>
    </row>
    <row r="72" customFormat="false" ht="15" hidden="false" customHeight="false" outlineLevel="0" collapsed="false">
      <c r="A72" s="7" t="s">
        <v>800</v>
      </c>
      <c r="B72" s="94" t="str">
        <f aca="false">INDEX(B71:D71,MATCH(MAX(B67:D67),B67:D67,0))</f>
        <v>Option B: Local partnership</v>
      </c>
      <c r="C72" s="94"/>
      <c r="D72" s="94"/>
    </row>
    <row r="73" customFormat="false" ht="15" hidden="false" customHeight="false" outlineLevel="0" collapsed="false">
      <c r="A73" s="10" t="s">
        <v>801</v>
      </c>
      <c r="B73" s="63" t="n">
        <f aca="false">MATCH(MAX(B67:D67),B67:D67,0)</f>
        <v>2</v>
      </c>
    </row>
  </sheetData>
  <mergeCells count="1">
    <mergeCell ref="B72:D7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I1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8" min="2" style="0" width="16"/>
    <col collapsed="false" customWidth="true" hidden="false" outlineLevel="0" max="9" min="9" style="0" width="60"/>
  </cols>
  <sheetData>
    <row r="1" customFormat="false" ht="17.35" hidden="false" customHeight="false" outlineLevel="0" collapsed="false">
      <c r="A1" s="13" t="s">
        <v>802</v>
      </c>
    </row>
    <row r="2" customFormat="false" ht="15" hidden="false" customHeight="false" outlineLevel="0" collapsed="false">
      <c r="A2" s="14" t="s">
        <v>803</v>
      </c>
    </row>
    <row r="4" customFormat="false" ht="15" hidden="false" customHeight="false" outlineLevel="0" collapsed="false">
      <c r="A4" s="4" t="s">
        <v>804</v>
      </c>
      <c r="B4" s="5"/>
      <c r="C4" s="5"/>
      <c r="D4" s="5"/>
      <c r="E4" s="5"/>
      <c r="F4" s="5"/>
      <c r="G4" s="5"/>
      <c r="H4" s="5"/>
      <c r="I4" s="5"/>
    </row>
    <row r="5" customFormat="false" ht="15" hidden="false" customHeight="false" outlineLevel="0" collapsed="false">
      <c r="A5" s="7" t="s">
        <v>690</v>
      </c>
      <c r="B5" s="36" t="s">
        <v>805</v>
      </c>
    </row>
    <row r="6" customFormat="false" ht="15" hidden="false" customHeight="false" outlineLevel="0" collapsed="false">
      <c r="A6" s="36" t="s">
        <v>806</v>
      </c>
      <c r="B6" s="95" t="n">
        <v>0.01</v>
      </c>
      <c r="C6" s="95" t="n">
        <v>0.02</v>
      </c>
      <c r="D6" s="95" t="n">
        <v>0.03</v>
      </c>
      <c r="E6" s="95" t="n">
        <v>0.04</v>
      </c>
      <c r="F6" s="95" t="n">
        <v>0.05</v>
      </c>
    </row>
    <row r="7" customFormat="false" ht="15" hidden="false" customHeight="false" outlineLevel="0" collapsed="false">
      <c r="A7" s="95" t="n">
        <v>0.1</v>
      </c>
      <c r="B7" s="33" t="n">
        <f aca="false">(Model_A_Direct!$C$102+Model_A_Direct!$D$102/(1+$A7)+Model_A_Direct!$E$102/(1+$A7)^2+Model_A_Direct!$F$102/(1+$A7)^3+Assumptions!$C$11*(Model_A_Direct!$D$124/(1+$A7)^4+Model_A_Direct!$E$124/(1+$A7)^5+Model_A_Direct!$F$124/(1+$A7)^6+Model_A_Direct!$F$127*(1+B$6)/($A7-B$6)*(1-Assumptions!$C$10)/(1+$A7)^6)+(1-Assumptions!$C$11)*Model_A_Direct!$F$110*(1+B$6)/($A7-B$6)*(1-Assumptions!$C$10)/(1+$A7)^3)/1000000</f>
        <v>-2.09589842338602</v>
      </c>
      <c r="C7" s="33" t="n">
        <f aca="false">(Model_A_Direct!$C$102+Model_A_Direct!$D$102/(1+$A7)+Model_A_Direct!$E$102/(1+$A7)^2+Model_A_Direct!$F$102/(1+$A7)^3+Assumptions!$C$11*(Model_A_Direct!$D$124/(1+$A7)^4+Model_A_Direct!$E$124/(1+$A7)^5+Model_A_Direct!$F$124/(1+$A7)^6+Model_A_Direct!$F$127*(1+C$6)/($A7-C$6)*(1-Assumptions!$C$10)/(1+$A7)^6)+(1-Assumptions!$C$11)*Model_A_Direct!$F$110*(1+C$6)/($A7-C$6)*(1-Assumptions!$C$10)/(1+$A7)^3)/1000000</f>
        <v>-0.774793616887668</v>
      </c>
      <c r="D7" s="33" t="n">
        <f aca="false">(Model_A_Direct!$C$102+Model_A_Direct!$D$102/(1+$A7)+Model_A_Direct!$E$102/(1+$A7)^2+Model_A_Direct!$F$102/(1+$A7)^3+Assumptions!$C$11*(Model_A_Direct!$D$124/(1+$A7)^4+Model_A_Direct!$E$124/(1+$A7)^5+Model_A_Direct!$F$124/(1+$A7)^6+Model_A_Direct!$F$127*(1+D$6)/($A7-D$6)*(1-Assumptions!$C$10)/(1+$A7)^6)+(1-Assumptions!$C$11)*Model_A_Direct!$F$110*(1+D$6)/($A7-D$6)*(1-Assumptions!$C$10)/(1+$A7)^3)/1000000</f>
        <v>0.923769705753073</v>
      </c>
      <c r="E7" s="33" t="n">
        <f aca="false">(Model_A_Direct!$C$102+Model_A_Direct!$D$102/(1+$A7)+Model_A_Direct!$E$102/(1+$A7)^2+Model_A_Direct!$F$102/(1+$A7)^3+Assumptions!$C$11*(Model_A_Direct!$D$124/(1+$A7)^4+Model_A_Direct!$E$124/(1+$A7)^5+Model_A_Direct!$F$124/(1+$A7)^6+Model_A_Direct!$F$127*(1+E$6)/($A7-E$6)*(1-Assumptions!$C$10)/(1+$A7)^6)+(1-Assumptions!$C$11)*Model_A_Direct!$F$110*(1+E$6)/($A7-E$6)*(1-Assumptions!$C$10)/(1+$A7)^3)/1000000</f>
        <v>3.18852080260739</v>
      </c>
      <c r="F7" s="33" t="n">
        <f aca="false">(Model_A_Direct!$C$102+Model_A_Direct!$D$102/(1+$A7)+Model_A_Direct!$E$102/(1+$A7)^2+Model_A_Direct!$F$102/(1+$A7)^3+Assumptions!$C$11*(Model_A_Direct!$D$124/(1+$A7)^4+Model_A_Direct!$E$124/(1+$A7)^5+Model_A_Direct!$F$124/(1+$A7)^6+Model_A_Direct!$F$127*(1+F$6)/($A7-F$6)*(1-Assumptions!$C$10)/(1+$A7)^6)+(1-Assumptions!$C$11)*Model_A_Direct!$F$110*(1+F$6)/($A7-F$6)*(1-Assumptions!$C$10)/(1+$A7)^3)/1000000</f>
        <v>6.35917233820344</v>
      </c>
    </row>
    <row r="8" customFormat="false" ht="15" hidden="false" customHeight="false" outlineLevel="0" collapsed="false">
      <c r="A8" s="95" t="n">
        <v>0.11</v>
      </c>
      <c r="B8" s="33" t="n">
        <f aca="false">(Model_A_Direct!$C$102+Model_A_Direct!$D$102/(1+$A8)+Model_A_Direct!$E$102/(1+$A8)^2+Model_A_Direct!$F$102/(1+$A8)^3+Assumptions!$C$11*(Model_A_Direct!$D$124/(1+$A8)^4+Model_A_Direct!$E$124/(1+$A8)^5+Model_A_Direct!$F$124/(1+$A8)^6+Model_A_Direct!$F$127*(1+B$6)/($A8-B$6)*(1-Assumptions!$C$10)/(1+$A8)^6)+(1-Assumptions!$C$11)*Model_A_Direct!$F$110*(1+B$6)/($A8-B$6)*(1-Assumptions!$C$10)/(1+$A8)^3)/1000000</f>
        <v>-3.37954736059605</v>
      </c>
      <c r="C8" s="33" t="n">
        <f aca="false">(Model_A_Direct!$C$102+Model_A_Direct!$D$102/(1+$A8)+Model_A_Direct!$E$102/(1+$A8)^2+Model_A_Direct!$F$102/(1+$A8)^3+Assumptions!$C$11*(Model_A_Direct!$D$124/(1+$A8)^4+Model_A_Direct!$E$124/(1+$A8)^5+Model_A_Direct!$F$124/(1+$A8)^6+Model_A_Direct!$F$127*(1+C$6)/($A8-C$6)*(1-Assumptions!$C$10)/(1+$A8)^6)+(1-Assumptions!$C$11)*Model_A_Direct!$F$110*(1+C$6)/($A8-C$6)*(1-Assumptions!$C$10)/(1+$A8)^3)/1000000</f>
        <v>-2.36942079826982</v>
      </c>
      <c r="D8" s="33" t="n">
        <f aca="false">(Model_A_Direct!$C$102+Model_A_Direct!$D$102/(1+$A8)+Model_A_Direct!$E$102/(1+$A8)^2+Model_A_Direct!$F$102/(1+$A8)^3+Assumptions!$C$11*(Model_A_Direct!$D$124/(1+$A8)^4+Model_A_Direct!$E$124/(1+$A8)^5+Model_A_Direct!$F$124/(1+$A8)^6+Model_A_Direct!$F$127*(1+D$6)/($A8-D$6)*(1-Assumptions!$C$10)/(1+$A8)^6)+(1-Assumptions!$C$11)*Model_A_Direct!$F$110*(1+D$6)/($A8-D$6)*(1-Assumptions!$C$10)/(1+$A8)^3)/1000000</f>
        <v>-1.10676259536204</v>
      </c>
      <c r="E8" s="33" t="n">
        <f aca="false">(Model_A_Direct!$C$102+Model_A_Direct!$D$102/(1+$A8)+Model_A_Direct!$E$102/(1+$A8)^2+Model_A_Direct!$F$102/(1+$A8)^3+Assumptions!$C$11*(Model_A_Direct!$D$124/(1+$A8)^4+Model_A_Direct!$E$124/(1+$A8)^5+Model_A_Direct!$F$124/(1+$A8)^6+Model_A_Direct!$F$127*(1+E$6)/($A8-E$6)*(1-Assumptions!$C$10)/(1+$A8)^6)+(1-Assumptions!$C$11)*Model_A_Direct!$F$110*(1+E$6)/($A8-E$6)*(1-Assumptions!$C$10)/(1+$A8)^3)/1000000</f>
        <v>0.516655094090816</v>
      </c>
      <c r="F8" s="33" t="n">
        <f aca="false">(Model_A_Direct!$C$102+Model_A_Direct!$D$102/(1+$A8)+Model_A_Direct!$E$102/(1+$A8)^2+Model_A_Direct!$F$102/(1+$A8)^3+Assumptions!$C$11*(Model_A_Direct!$D$124/(1+$A8)^4+Model_A_Direct!$E$124/(1+$A8)^5+Model_A_Direct!$F$124/(1+$A8)^6+Model_A_Direct!$F$127*(1+F$6)/($A8-F$6)*(1-Assumptions!$C$10)/(1+$A8)^6)+(1-Assumptions!$C$11)*Model_A_Direct!$F$110*(1+F$6)/($A8-F$6)*(1-Assumptions!$C$10)/(1+$A8)^3)/1000000</f>
        <v>2.6812120133613</v>
      </c>
    </row>
    <row r="9" customFormat="false" ht="15" hidden="false" customHeight="false" outlineLevel="0" collapsed="false">
      <c r="A9" s="95" t="n">
        <v>0.12</v>
      </c>
      <c r="B9" s="33" t="n">
        <f aca="false">(Model_A_Direct!$C$102+Model_A_Direct!$D$102/(1+$A9)+Model_A_Direct!$E$102/(1+$A9)^2+Model_A_Direct!$F$102/(1+$A9)^3+Assumptions!$C$11*(Model_A_Direct!$D$124/(1+$A9)^4+Model_A_Direct!$E$124/(1+$A9)^5+Model_A_Direct!$F$124/(1+$A9)^6+Model_A_Direct!$F$127*(1+B$6)/($A9-B$6)*(1-Assumptions!$C$10)/(1+$A9)^6)+(1-Assumptions!$C$11)*Model_A_Direct!$F$110*(1+B$6)/($A9-B$6)*(1-Assumptions!$C$10)/(1+$A9)^3)/1000000</f>
        <v>-4.37996371373737</v>
      </c>
      <c r="C9" s="33" t="n">
        <f aca="false">(Model_A_Direct!$C$102+Model_A_Direct!$D$102/(1+$A9)+Model_A_Direct!$E$102/(1+$A9)^2+Model_A_Direct!$F$102/(1+$A9)^3+Assumptions!$C$11*(Model_A_Direct!$D$124/(1+$A9)^4+Model_A_Direct!$E$124/(1+$A9)^5+Model_A_Direct!$F$124/(1+$A9)^6+Model_A_Direct!$F$127*(1+C$6)/($A9-C$6)*(1-Assumptions!$C$10)/(1+$A9)^6)+(1-Assumptions!$C$11)*Model_A_Direct!$F$110*(1+C$6)/($A9-C$6)*(1-Assumptions!$C$10)/(1+$A9)^3)/1000000</f>
        <v>-3.58973938479161</v>
      </c>
      <c r="D9" s="33" t="n">
        <f aca="false">(Model_A_Direct!$C$102+Model_A_Direct!$D$102/(1+$A9)+Model_A_Direct!$E$102/(1+$A9)^2+Model_A_Direct!$F$102/(1+$A9)^3+Assumptions!$C$11*(Model_A_Direct!$D$124/(1+$A9)^4+Model_A_Direct!$E$124/(1+$A9)^5+Model_A_Direct!$F$124/(1+$A9)^6+Model_A_Direct!$F$127*(1+D$6)/($A9-D$6)*(1-Assumptions!$C$10)/(1+$A9)^6)+(1-Assumptions!$C$11)*Model_A_Direct!$F$110*(1+D$6)/($A9-D$6)*(1-Assumptions!$C$10)/(1+$A9)^3)/1000000</f>
        <v>-2.62390964941347</v>
      </c>
      <c r="E9" s="33" t="n">
        <f aca="false">(Model_A_Direct!$C$102+Model_A_Direct!$D$102/(1+$A9)+Model_A_Direct!$E$102/(1+$A9)^2+Model_A_Direct!$F$102/(1+$A9)^3+Assumptions!$C$11*(Model_A_Direct!$D$124/(1+$A9)^4+Model_A_Direct!$E$124/(1+$A9)^5+Model_A_Direct!$F$124/(1+$A9)^6+Model_A_Direct!$F$127*(1+E$6)/($A9-E$6)*(1-Assumptions!$C$10)/(1+$A9)^6)+(1-Assumptions!$C$11)*Model_A_Direct!$F$110*(1+E$6)/($A9-E$6)*(1-Assumptions!$C$10)/(1+$A9)^3)/1000000</f>
        <v>-1.41662248019078</v>
      </c>
      <c r="F9" s="33" t="n">
        <f aca="false">(Model_A_Direct!$C$102+Model_A_Direct!$D$102/(1+$A9)+Model_A_Direct!$E$102/(1+$A9)^2+Model_A_Direct!$F$102/(1+$A9)^3+Assumptions!$C$11*(Model_A_Direct!$D$124/(1+$A9)^4+Model_A_Direct!$E$124/(1+$A9)^5+Model_A_Direct!$F$124/(1+$A9)^6+Model_A_Direct!$F$127*(1+F$6)/($A9-F$6)*(1-Assumptions!$C$10)/(1+$A9)^6)+(1-Assumptions!$C$11)*Model_A_Direct!$F$110*(1+F$6)/($A9-F$6)*(1-Assumptions!$C$10)/(1+$A9)^3)/1000000</f>
        <v>0.135603880238377</v>
      </c>
    </row>
    <row r="10" customFormat="false" ht="15" hidden="false" customHeight="false" outlineLevel="0" collapsed="false">
      <c r="A10" s="95" t="n">
        <v>0.14</v>
      </c>
      <c r="B10" s="33" t="n">
        <f aca="false">(Model_A_Direct!$C$102+Model_A_Direct!$D$102/(1+$A10)+Model_A_Direct!$E$102/(1+$A10)^2+Model_A_Direct!$F$102/(1+$A10)^3+Assumptions!$C$11*(Model_A_Direct!$D$124/(1+$A10)^4+Model_A_Direct!$E$124/(1+$A10)^5+Model_A_Direct!$F$124/(1+$A10)^6+Model_A_Direct!$F$127*(1+B$6)/($A10-B$6)*(1-Assumptions!$C$10)/(1+$A10)^6)+(1-Assumptions!$C$11)*Model_A_Direct!$F$110*(1+B$6)/($A10-B$6)*(1-Assumptions!$C$10)/(1+$A10)^3)/1000000</f>
        <v>-5.80095601850981</v>
      </c>
      <c r="C10" s="33" t="n">
        <f aca="false">(Model_A_Direct!$C$102+Model_A_Direct!$D$102/(1+$A10)+Model_A_Direct!$E$102/(1+$A10)^2+Model_A_Direct!$F$102/(1+$A10)^3+Assumptions!$C$11*(Model_A_Direct!$D$124/(1+$A10)^4+Model_A_Direct!$E$124/(1+$A10)^5+Model_A_Direct!$F$124/(1+$A10)^6+Model_A_Direct!$F$127*(1+C$6)/($A10-C$6)*(1-Assumptions!$C$10)/(1+$A10)^6)+(1-Assumptions!$C$11)*Model_A_Direct!$F$110*(1+C$6)/($A10-C$6)*(1-Assumptions!$C$10)/(1+$A10)^3)/1000000</f>
        <v>-5.29093938552178</v>
      </c>
      <c r="D10" s="33" t="n">
        <f aca="false">(Model_A_Direct!$C$102+Model_A_Direct!$D$102/(1+$A10)+Model_A_Direct!$E$102/(1+$A10)^2+Model_A_Direct!$F$102/(1+$A10)^3+Assumptions!$C$11*(Model_A_Direct!$D$124/(1+$A10)^4+Model_A_Direct!$E$124/(1+$A10)^5+Model_A_Direct!$F$124/(1+$A10)^6+Model_A_Direct!$F$127*(1+D$6)/($A10-D$6)*(1-Assumptions!$C$10)/(1+$A10)^6)+(1-Assumptions!$C$11)*Model_A_Direct!$F$110*(1+D$6)/($A10-D$6)*(1-Assumptions!$C$10)/(1+$A10)^3)/1000000</f>
        <v>-4.68819245562685</v>
      </c>
      <c r="E10" s="33" t="n">
        <f aca="false">(Model_A_Direct!$C$102+Model_A_Direct!$D$102/(1+$A10)+Model_A_Direct!$E$102/(1+$A10)^2+Model_A_Direct!$F$102/(1+$A10)^3+Assumptions!$C$11*(Model_A_Direct!$D$124/(1+$A10)^4+Model_A_Direct!$E$124/(1+$A10)^5+Model_A_Direct!$F$124/(1+$A10)^6+Model_A_Direct!$F$127*(1+E$6)/($A10-E$6)*(1-Assumptions!$C$10)/(1+$A10)^6)+(1-Assumptions!$C$11)*Model_A_Direct!$F$110*(1+E$6)/($A10-E$6)*(1-Assumptions!$C$10)/(1+$A10)^3)/1000000</f>
        <v>-3.96489613975292</v>
      </c>
      <c r="F10" s="33" t="n">
        <f aca="false">(Model_A_Direct!$C$102+Model_A_Direct!$D$102/(1+$A10)+Model_A_Direct!$E$102/(1+$A10)^2+Model_A_Direct!$F$102/(1+$A10)^3+Assumptions!$C$11*(Model_A_Direct!$D$124/(1+$A10)^4+Model_A_Direct!$E$124/(1+$A10)^5+Model_A_Direct!$F$124/(1+$A10)^6+Model_A_Direct!$F$127*(1+F$6)/($A10-F$6)*(1-Assumptions!$C$10)/(1+$A10)^6)+(1-Assumptions!$C$11)*Model_A_Direct!$F$110*(1+F$6)/($A10-F$6)*(1-Assumptions!$C$10)/(1+$A10)^3)/1000000</f>
        <v>-3.08086730924035</v>
      </c>
    </row>
    <row r="11" customFormat="false" ht="15" hidden="false" customHeight="false" outlineLevel="0" collapsed="false">
      <c r="A11" s="95" t="n">
        <v>0.16</v>
      </c>
      <c r="B11" s="33" t="n">
        <f aca="false">(Model_A_Direct!$C$102+Model_A_Direct!$D$102/(1+$A11)+Model_A_Direct!$E$102/(1+$A11)^2+Model_A_Direct!$F$102/(1+$A11)^3+Assumptions!$C$11*(Model_A_Direct!$D$124/(1+$A11)^4+Model_A_Direct!$E$124/(1+$A11)^5+Model_A_Direct!$F$124/(1+$A11)^6+Model_A_Direct!$F$127*(1+B$6)/($A11-B$6)*(1-Assumptions!$C$10)/(1+$A11)^6)+(1-Assumptions!$C$11)*Model_A_Direct!$F$110*(1+B$6)/($A11-B$6)*(1-Assumptions!$C$10)/(1+$A11)^3)/1000000</f>
        <v>-6.71763892079522</v>
      </c>
      <c r="C11" s="33" t="n">
        <f aca="false">(Model_A_Direct!$C$102+Model_A_Direct!$D$102/(1+$A11)+Model_A_Direct!$E$102/(1+$A11)^2+Model_A_Direct!$F$102/(1+$A11)^3+Assumptions!$C$11*(Model_A_Direct!$D$124/(1+$A11)^4+Model_A_Direct!$E$124/(1+$A11)^5+Model_A_Direct!$F$124/(1+$A11)^6+Model_A_Direct!$F$127*(1+C$6)/($A11-C$6)*(1-Assumptions!$C$10)/(1+$A11)^6)+(1-Assumptions!$C$11)*Model_A_Direct!$F$110*(1+C$6)/($A11-C$6)*(1-Assumptions!$C$10)/(1+$A11)^3)/1000000</f>
        <v>-6.37032358990161</v>
      </c>
      <c r="D11" s="33" t="n">
        <f aca="false">(Model_A_Direct!$C$102+Model_A_Direct!$D$102/(1+$A11)+Model_A_Direct!$E$102/(1+$A11)^2+Model_A_Direct!$F$102/(1+$A11)^3+Assumptions!$C$11*(Model_A_Direct!$D$124/(1+$A11)^4+Model_A_Direct!$E$124/(1+$A11)^5+Model_A_Direct!$F$124/(1+$A11)^6+Model_A_Direct!$F$127*(1+D$6)/($A11-D$6)*(1-Assumptions!$C$10)/(1+$A11)^6)+(1-Assumptions!$C$11)*Model_A_Direct!$F$110*(1+D$6)/($A11-D$6)*(1-Assumptions!$C$10)/(1+$A11)^3)/1000000</f>
        <v>-5.96957513117822</v>
      </c>
      <c r="E11" s="33" t="n">
        <f aca="false">(Model_A_Direct!$C$102+Model_A_Direct!$D$102/(1+$A11)+Model_A_Direct!$E$102/(1+$A11)^2+Model_A_Direct!$F$102/(1+$A11)^3+Assumptions!$C$11*(Model_A_Direct!$D$124/(1+$A11)^4+Model_A_Direct!$E$124/(1+$A11)^5+Model_A_Direct!$F$124/(1+$A11)^6+Model_A_Direct!$F$127*(1+E$6)/($A11-E$6)*(1-Assumptions!$C$10)/(1+$A11)^6)+(1-Assumptions!$C$11)*Model_A_Direct!$F$110*(1+E$6)/($A11-E$6)*(1-Assumptions!$C$10)/(1+$A11)^3)/1000000</f>
        <v>-5.5020352626676</v>
      </c>
      <c r="F11" s="33" t="n">
        <f aca="false">(Model_A_Direct!$C$102+Model_A_Direct!$D$102/(1+$A11)+Model_A_Direct!$E$102/(1+$A11)^2+Model_A_Direct!$F$102/(1+$A11)^3+Assumptions!$C$11*(Model_A_Direct!$D$124/(1+$A11)^4+Model_A_Direct!$E$124/(1+$A11)^5+Model_A_Direct!$F$124/(1+$A11)^6+Model_A_Direct!$F$127*(1+F$6)/($A11-F$6)*(1-Assumptions!$C$10)/(1+$A11)^6)+(1-Assumptions!$C$11)*Model_A_Direct!$F$110*(1+F$6)/($A11-F$6)*(1-Assumptions!$C$10)/(1+$A11)^3)/1000000</f>
        <v>-4.94948814533686</v>
      </c>
    </row>
    <row r="13" customFormat="false" ht="15" hidden="false" customHeight="false" outlineLevel="0" collapsed="false">
      <c r="A13" s="7" t="s">
        <v>691</v>
      </c>
      <c r="B13" s="36" t="s">
        <v>805</v>
      </c>
    </row>
    <row r="14" customFormat="false" ht="15" hidden="false" customHeight="false" outlineLevel="0" collapsed="false">
      <c r="A14" s="36" t="s">
        <v>806</v>
      </c>
      <c r="B14" s="95" t="n">
        <v>0.01</v>
      </c>
      <c r="C14" s="95" t="n">
        <v>0.02</v>
      </c>
      <c r="D14" s="95" t="n">
        <v>0.03</v>
      </c>
      <c r="E14" s="95" t="n">
        <v>0.04</v>
      </c>
      <c r="F14" s="95" t="n">
        <v>0.05</v>
      </c>
    </row>
    <row r="15" customFormat="false" ht="15" hidden="false" customHeight="false" outlineLevel="0" collapsed="false">
      <c r="A15" s="95" t="n">
        <v>0.1</v>
      </c>
      <c r="B15" s="33" t="n">
        <f aca="false">(Model_B_Partner!$C$102+Model_B_Partner!$D$102/(1+$A15)+Model_B_Partner!$E$102/(1+$A15)^2+Model_B_Partner!$F$102/(1+$A15)^3+Assumptions!$C$11*(Model_B_Partner!$D$124/(1+$A15)^4+Model_B_Partner!$E$124/(1+$A15)^5+Model_B_Partner!$F$124/(1+$A15)^6+Model_B_Partner!$F$127*(1+B$14)/($A15-B$14)*(1-Assumptions!$C$10)/(1+$A15)^6)+(1-Assumptions!$C$11)*Model_B_Partner!$F$110*(1+B$14)/($A15-B$14)*(1-Assumptions!$C$10)/(1+$A15)^3)/1000000</f>
        <v>0.0423287254890427</v>
      </c>
      <c r="C15" s="33" t="n">
        <f aca="false">(Model_B_Partner!$C$102+Model_B_Partner!$D$102/(1+$A15)+Model_B_Partner!$E$102/(1+$A15)^2+Model_B_Partner!$F$102/(1+$A15)^3+Assumptions!$C$11*(Model_B_Partner!$D$124/(1+$A15)^4+Model_B_Partner!$E$124/(1+$A15)^5+Model_B_Partner!$F$124/(1+$A15)^6+Model_B_Partner!$F$127*(1+C$14)/($A15-C$14)*(1-Assumptions!$C$10)/(1+$A15)^6)+(1-Assumptions!$C$11)*Model_B_Partner!$F$110*(1+C$14)/($A15-C$14)*(1-Assumptions!$C$10)/(1+$A15)^3)/1000000</f>
        <v>1.18008499185054</v>
      </c>
      <c r="D15" s="33" t="n">
        <f aca="false">(Model_B_Partner!$C$102+Model_B_Partner!$D$102/(1+$A15)+Model_B_Partner!$E$102/(1+$A15)^2+Model_B_Partner!$F$102/(1+$A15)^3+Assumptions!$C$11*(Model_B_Partner!$D$124/(1+$A15)^4+Model_B_Partner!$E$124/(1+$A15)^5+Model_B_Partner!$F$124/(1+$A15)^6+Model_B_Partner!$F$127*(1+D$14)/($A15-D$14)*(1-Assumptions!$C$10)/(1+$A15)^6)+(1-Assumptions!$C$11)*Model_B_Partner!$F$110*(1+D$14)/($A15-D$14)*(1-Assumptions!$C$10)/(1+$A15)^3)/1000000</f>
        <v>2.64291447717247</v>
      </c>
      <c r="E15" s="33" t="n">
        <f aca="false">(Model_B_Partner!$C$102+Model_B_Partner!$D$102/(1+$A15)+Model_B_Partner!$E$102/(1+$A15)^2+Model_B_Partner!$F$102/(1+$A15)^3+Assumptions!$C$11*(Model_B_Partner!$D$124/(1+$A15)^4+Model_B_Partner!$E$124/(1+$A15)^5+Model_B_Partner!$F$124/(1+$A15)^6+Model_B_Partner!$F$127*(1+E$14)/($A15-E$14)*(1-Assumptions!$C$10)/(1+$A15)^6)+(1-Assumptions!$C$11)*Model_B_Partner!$F$110*(1+E$14)/($A15-E$14)*(1-Assumptions!$C$10)/(1+$A15)^3)/1000000</f>
        <v>4.59335379093503</v>
      </c>
      <c r="F15" s="33" t="n">
        <f aca="false">(Model_B_Partner!$C$102+Model_B_Partner!$D$102/(1+$A15)+Model_B_Partner!$E$102/(1+$A15)^2+Model_B_Partner!$F$102/(1+$A15)^3+Assumptions!$C$11*(Model_B_Partner!$D$124/(1+$A15)^4+Model_B_Partner!$E$124/(1+$A15)^5+Model_B_Partner!$F$124/(1+$A15)^6+Model_B_Partner!$F$127*(1+F$14)/($A15-F$14)*(1-Assumptions!$C$10)/(1+$A15)^6)+(1-Assumptions!$C$11)*Model_B_Partner!$F$110*(1+F$14)/($A15-F$14)*(1-Assumptions!$C$10)/(1+$A15)^3)/1000000</f>
        <v>7.32396883020263</v>
      </c>
    </row>
    <row r="16" customFormat="false" ht="15" hidden="false" customHeight="false" outlineLevel="0" collapsed="false">
      <c r="A16" s="95" t="n">
        <v>0.11</v>
      </c>
      <c r="B16" s="33" t="n">
        <f aca="false">(Model_B_Partner!$C$102+Model_B_Partner!$D$102/(1+$A16)+Model_B_Partner!$E$102/(1+$A16)^2+Model_B_Partner!$F$102/(1+$A16)^3+Assumptions!$C$11*(Model_B_Partner!$D$124/(1+$A16)^4+Model_B_Partner!$E$124/(1+$A16)^5+Model_B_Partner!$F$124/(1+$A16)^6+Model_B_Partner!$F$127*(1+B$14)/($A16-B$14)*(1-Assumptions!$C$10)/(1+$A16)^6)+(1-Assumptions!$C$11)*Model_B_Partner!$F$110*(1+B$14)/($A16-B$14)*(1-Assumptions!$C$10)/(1+$A16)^3)/1000000</f>
        <v>-1.11702994938304</v>
      </c>
      <c r="C16" s="33" t="n">
        <f aca="false">(Model_B_Partner!$C$102+Model_B_Partner!$D$102/(1+$A16)+Model_B_Partner!$E$102/(1+$A16)^2+Model_B_Partner!$F$102/(1+$A16)^3+Assumptions!$C$11*(Model_B_Partner!$D$124/(1+$A16)^4+Model_B_Partner!$E$124/(1+$A16)^5+Model_B_Partner!$F$124/(1+$A16)^6+Model_B_Partner!$F$127*(1+C$14)/($A16-C$14)*(1-Assumptions!$C$10)/(1+$A16)^6)+(1-Assumptions!$C$11)*Model_B_Partner!$F$110*(1+C$14)/($A16-C$14)*(1-Assumptions!$C$10)/(1+$A16)^3)/1000000</f>
        <v>-0.247093044716813</v>
      </c>
      <c r="D16" s="33" t="n">
        <f aca="false">(Model_B_Partner!$C$102+Model_B_Partner!$D$102/(1+$A16)+Model_B_Partner!$E$102/(1+$A16)^2+Model_B_Partner!$F$102/(1+$A16)^3+Assumptions!$C$11*(Model_B_Partner!$D$124/(1+$A16)^4+Model_B_Partner!$E$124/(1+$A16)^5+Model_B_Partner!$F$124/(1+$A16)^6+Model_B_Partner!$F$127*(1+D$14)/($A16-D$14)*(1-Assumptions!$C$10)/(1+$A16)^6)+(1-Assumptions!$C$11)*Model_B_Partner!$F$110*(1+D$14)/($A16-D$14)*(1-Assumptions!$C$10)/(1+$A16)^3)/1000000</f>
        <v>0.840328086115977</v>
      </c>
      <c r="E16" s="33" t="n">
        <f aca="false">(Model_B_Partner!$C$102+Model_B_Partner!$D$102/(1+$A16)+Model_B_Partner!$E$102/(1+$A16)^2+Model_B_Partner!$F$102/(1+$A16)^3+Assumptions!$C$11*(Model_B_Partner!$D$124/(1+$A16)^4+Model_B_Partner!$E$124/(1+$A16)^5+Model_B_Partner!$F$124/(1+$A16)^6+Model_B_Partner!$F$127*(1+E$14)/($A16-E$14)*(1-Assumptions!$C$10)/(1+$A16)^6)+(1-Assumptions!$C$11)*Model_B_Partner!$F$110*(1+E$14)/($A16-E$14)*(1-Assumptions!$C$10)/(1+$A16)^3)/1000000</f>
        <v>2.23844096861528</v>
      </c>
      <c r="F16" s="33" t="n">
        <f aca="false">(Model_B_Partner!$C$102+Model_B_Partner!$D$102/(1+$A16)+Model_B_Partner!$E$102/(1+$A16)^2+Model_B_Partner!$F$102/(1+$A16)^3+Assumptions!$C$11*(Model_B_Partner!$D$124/(1+$A16)^4+Model_B_Partner!$E$124/(1+$A16)^5+Model_B_Partner!$F$124/(1+$A16)^6+Model_B_Partner!$F$127*(1+F$14)/($A16-F$14)*(1-Assumptions!$C$10)/(1+$A16)^6)+(1-Assumptions!$C$11)*Model_B_Partner!$F$110*(1+F$14)/($A16-F$14)*(1-Assumptions!$C$10)/(1+$A16)^3)/1000000</f>
        <v>4.10259147861434</v>
      </c>
    </row>
    <row r="17" customFormat="false" ht="15" hidden="false" customHeight="false" outlineLevel="0" collapsed="false">
      <c r="A17" s="95" t="n">
        <v>0.12</v>
      </c>
      <c r="B17" s="33" t="n">
        <f aca="false">(Model_B_Partner!$C$102+Model_B_Partner!$D$102/(1+$A17)+Model_B_Partner!$E$102/(1+$A17)^2+Model_B_Partner!$F$102/(1+$A17)^3+Assumptions!$C$11*(Model_B_Partner!$D$124/(1+$A17)^4+Model_B_Partner!$E$124/(1+$A17)^5+Model_B_Partner!$F$124/(1+$A17)^6+Model_B_Partner!$F$127*(1+B$14)/($A17-B$14)*(1-Assumptions!$C$10)/(1+$A17)^6)+(1-Assumptions!$C$11)*Model_B_Partner!$F$110*(1+B$14)/($A17-B$14)*(1-Assumptions!$C$10)/(1+$A17)^3)/1000000</f>
        <v>-2.03033042891353</v>
      </c>
      <c r="C17" s="33" t="n">
        <f aca="false">(Model_B_Partner!$C$102+Model_B_Partner!$D$102/(1+$A17)+Model_B_Partner!$E$102/(1+$A17)^2+Model_B_Partner!$F$102/(1+$A17)^3+Assumptions!$C$11*(Model_B_Partner!$D$124/(1+$A17)^4+Model_B_Partner!$E$124/(1+$A17)^5+Model_B_Partner!$F$124/(1+$A17)^6+Model_B_Partner!$F$127*(1+C$14)/($A17-C$14)*(1-Assumptions!$C$10)/(1+$A17)^6)+(1-Assumptions!$C$11)*Model_B_Partner!$F$110*(1+C$14)/($A17-C$14)*(1-Assumptions!$C$10)/(1+$A17)^3)/1000000</f>
        <v>-1.34977679102888</v>
      </c>
      <c r="D17" s="33" t="n">
        <f aca="false">(Model_B_Partner!$C$102+Model_B_Partner!$D$102/(1+$A17)+Model_B_Partner!$E$102/(1+$A17)^2+Model_B_Partner!$F$102/(1+$A17)^3+Assumptions!$C$11*(Model_B_Partner!$D$124/(1+$A17)^4+Model_B_Partner!$E$124/(1+$A17)^5+Model_B_Partner!$F$124/(1+$A17)^6+Model_B_Partner!$F$127*(1+D$14)/($A17-D$14)*(1-Assumptions!$C$10)/(1+$A17)^6)+(1-Assumptions!$C$11)*Model_B_Partner!$F$110*(1+D$14)/($A17-D$14)*(1-Assumptions!$C$10)/(1+$A17)^3)/1000000</f>
        <v>-0.517989011392097</v>
      </c>
      <c r="E17" s="33" t="n">
        <f aca="false">(Model_B_Partner!$C$102+Model_B_Partner!$D$102/(1+$A17)+Model_B_Partner!$E$102/(1+$A17)^2+Model_B_Partner!$F$102/(1+$A17)^3+Assumptions!$C$11*(Model_B_Partner!$D$124/(1+$A17)^4+Model_B_Partner!$E$124/(1+$A17)^5+Model_B_Partner!$F$124/(1+$A17)^6+Model_B_Partner!$F$127*(1+E$14)/($A17-E$14)*(1-Assumptions!$C$10)/(1+$A17)^6)+(1-Assumptions!$C$11)*Model_B_Partner!$F$110*(1+E$14)/($A17-E$14)*(1-Assumptions!$C$10)/(1+$A17)^3)/1000000</f>
        <v>0.521745713153888</v>
      </c>
      <c r="F17" s="33" t="n">
        <f aca="false">(Model_B_Partner!$C$102+Model_B_Partner!$D$102/(1+$A17)+Model_B_Partner!$E$102/(1+$A17)^2+Model_B_Partner!$F$102/(1+$A17)^3+Assumptions!$C$11*(Model_B_Partner!$D$124/(1+$A17)^4+Model_B_Partner!$E$124/(1+$A17)^5+Model_B_Partner!$F$124/(1+$A17)^6+Model_B_Partner!$F$127*(1+F$14)/($A17-F$14)*(1-Assumptions!$C$10)/(1+$A17)^6)+(1-Assumptions!$C$11)*Model_B_Partner!$F$110*(1+F$14)/($A17-F$14)*(1-Assumptions!$C$10)/(1+$A17)^3)/1000000</f>
        <v>1.85854750185586</v>
      </c>
    </row>
    <row r="18" customFormat="false" ht="15" hidden="false" customHeight="false" outlineLevel="0" collapsed="false">
      <c r="A18" s="95" t="n">
        <v>0.14</v>
      </c>
      <c r="B18" s="33" t="n">
        <f aca="false">(Model_B_Partner!$C$102+Model_B_Partner!$D$102/(1+$A18)+Model_B_Partner!$E$102/(1+$A18)^2+Model_B_Partner!$F$102/(1+$A18)^3+Assumptions!$C$11*(Model_B_Partner!$D$124/(1+$A18)^4+Model_B_Partner!$E$124/(1+$A18)^5+Model_B_Partner!$F$124/(1+$A18)^6+Model_B_Partner!$F$127*(1+B$14)/($A18-B$14)*(1-Assumptions!$C$10)/(1+$A18)^6)+(1-Assumptions!$C$11)*Model_B_Partner!$F$110*(1+B$14)/($A18-B$14)*(1-Assumptions!$C$10)/(1+$A18)^3)/1000000</f>
        <v>-3.35158397726555</v>
      </c>
      <c r="C18" s="33" t="n">
        <f aca="false">(Model_B_Partner!$C$102+Model_B_Partner!$D$102/(1+$A18)+Model_B_Partner!$E$102/(1+$A18)^2+Model_B_Partner!$F$102/(1+$A18)^3+Assumptions!$C$11*(Model_B_Partner!$D$124/(1+$A18)^4+Model_B_Partner!$E$124/(1+$A18)^5+Model_B_Partner!$F$124/(1+$A18)^6+Model_B_Partner!$F$127*(1+C$14)/($A18-C$14)*(1-Assumptions!$C$10)/(1+$A18)^6)+(1-Assumptions!$C$11)*Model_B_Partner!$F$110*(1+C$14)/($A18-C$14)*(1-Assumptions!$C$10)/(1+$A18)^3)/1000000</f>
        <v>-2.91234962032701</v>
      </c>
      <c r="D18" s="33" t="n">
        <f aca="false">(Model_B_Partner!$C$102+Model_B_Partner!$D$102/(1+$A18)+Model_B_Partner!$E$102/(1+$A18)^2+Model_B_Partner!$F$102/(1+$A18)^3+Assumptions!$C$11*(Model_B_Partner!$D$124/(1+$A18)^4+Model_B_Partner!$E$124/(1+$A18)^5+Model_B_Partner!$F$124/(1+$A18)^6+Model_B_Partner!$F$127*(1+D$14)/($A18-D$14)*(1-Assumptions!$C$10)/(1+$A18)^6)+(1-Assumptions!$C$11)*Model_B_Partner!$F$110*(1+D$14)/($A18-D$14)*(1-Assumptions!$C$10)/(1+$A18)^3)/1000000</f>
        <v>-2.39325447121783</v>
      </c>
      <c r="E18" s="33" t="n">
        <f aca="false">(Model_B_Partner!$C$102+Model_B_Partner!$D$102/(1+$A18)+Model_B_Partner!$E$102/(1+$A18)^2+Model_B_Partner!$F$102/(1+$A18)^3+Assumptions!$C$11*(Model_B_Partner!$D$124/(1+$A18)^4+Model_B_Partner!$E$124/(1+$A18)^5+Model_B_Partner!$F$124/(1+$A18)^6+Model_B_Partner!$F$127*(1+E$14)/($A18-E$14)*(1-Assumptions!$C$10)/(1+$A18)^6)+(1-Assumptions!$C$11)*Model_B_Partner!$F$110*(1+E$14)/($A18-E$14)*(1-Assumptions!$C$10)/(1+$A18)^3)/1000000</f>
        <v>-1.77034029228681</v>
      </c>
      <c r="F18" s="33" t="n">
        <f aca="false">(Model_B_Partner!$C$102+Model_B_Partner!$D$102/(1+$A18)+Model_B_Partner!$E$102/(1+$A18)^2+Model_B_Partner!$F$102/(1+$A18)^3+Assumptions!$C$11*(Model_B_Partner!$D$124/(1+$A18)^4+Model_B_Partner!$E$124/(1+$A18)^5+Model_B_Partner!$F$124/(1+$A18)^6+Model_B_Partner!$F$127*(1+F$14)/($A18-F$14)*(1-Assumptions!$C$10)/(1+$A18)^6)+(1-Assumptions!$C$11)*Model_B_Partner!$F$110*(1+F$14)/($A18-F$14)*(1-Assumptions!$C$10)/(1+$A18)^3)/1000000</f>
        <v>-1.00900074026001</v>
      </c>
    </row>
    <row r="19" customFormat="false" ht="15" hidden="false" customHeight="false" outlineLevel="0" collapsed="false">
      <c r="A19" s="95" t="n">
        <v>0.16</v>
      </c>
      <c r="B19" s="33" t="n">
        <f aca="false">(Model_B_Partner!$C$102+Model_B_Partner!$D$102/(1+$A19)+Model_B_Partner!$E$102/(1+$A19)^2+Model_B_Partner!$F$102/(1+$A19)^3+Assumptions!$C$11*(Model_B_Partner!$D$124/(1+$A19)^4+Model_B_Partner!$E$124/(1+$A19)^5+Model_B_Partner!$F$124/(1+$A19)^6+Model_B_Partner!$F$127*(1+B$14)/($A19-B$14)*(1-Assumptions!$C$10)/(1+$A19)^6)+(1-Assumptions!$C$11)*Model_B_Partner!$F$110*(1+B$14)/($A19-B$14)*(1-Assumptions!$C$10)/(1+$A19)^3)/1000000</f>
        <v>-4.23118687114798</v>
      </c>
      <c r="C19" s="33" t="n">
        <f aca="false">(Model_B_Partner!$C$102+Model_B_Partner!$D$102/(1+$A19)+Model_B_Partner!$E$102/(1+$A19)^2+Model_B_Partner!$F$102/(1+$A19)^3+Assumptions!$C$11*(Model_B_Partner!$D$124/(1+$A19)^4+Model_B_Partner!$E$124/(1+$A19)^5+Model_B_Partner!$F$124/(1+$A19)^6+Model_B_Partner!$F$127*(1+C$14)/($A19-C$14)*(1-Assumptions!$C$10)/(1+$A19)^6)+(1-Assumptions!$C$11)*Model_B_Partner!$F$110*(1+C$14)/($A19-C$14)*(1-Assumptions!$C$10)/(1+$A19)^3)/1000000</f>
        <v>-3.93207343806995</v>
      </c>
      <c r="D19" s="33" t="n">
        <f aca="false">(Model_B_Partner!$C$102+Model_B_Partner!$D$102/(1+$A19)+Model_B_Partner!$E$102/(1+$A19)^2+Model_B_Partner!$F$102/(1+$A19)^3+Assumptions!$C$11*(Model_B_Partner!$D$124/(1+$A19)^4+Model_B_Partner!$E$124/(1+$A19)^5+Model_B_Partner!$F$124/(1+$A19)^6+Model_B_Partner!$F$127*(1+D$14)/($A19-D$14)*(1-Assumptions!$C$10)/(1+$A19)^6)+(1-Assumptions!$C$11)*Model_B_Partner!$F$110*(1+D$14)/($A19-D$14)*(1-Assumptions!$C$10)/(1+$A19)^3)/1000000</f>
        <v>-3.58694255374913</v>
      </c>
      <c r="E19" s="33" t="n">
        <f aca="false">(Model_B_Partner!$C$102+Model_B_Partner!$D$102/(1+$A19)+Model_B_Partner!$E$102/(1+$A19)^2+Model_B_Partner!$F$102/(1+$A19)^3+Assumptions!$C$11*(Model_B_Partner!$D$124/(1+$A19)^4+Model_B_Partner!$E$124/(1+$A19)^5+Model_B_Partner!$F$124/(1+$A19)^6+Model_B_Partner!$F$127*(1+E$14)/($A19-E$14)*(1-Assumptions!$C$10)/(1+$A19)^6)+(1-Assumptions!$C$11)*Model_B_Partner!$F$110*(1+E$14)/($A19-E$14)*(1-Assumptions!$C$10)/(1+$A19)^3)/1000000</f>
        <v>-3.18428985537485</v>
      </c>
      <c r="F19" s="33" t="n">
        <f aca="false">(Model_B_Partner!$C$102+Model_B_Partner!$D$102/(1+$A19)+Model_B_Partner!$E$102/(1+$A19)^2+Model_B_Partner!$F$102/(1+$A19)^3+Assumptions!$C$11*(Model_B_Partner!$D$124/(1+$A19)^4+Model_B_Partner!$E$124/(1+$A19)^5+Model_B_Partner!$F$124/(1+$A19)^6+Model_B_Partner!$F$127*(1+F$14)/($A19-F$14)*(1-Assumptions!$C$10)/(1+$A19)^6)+(1-Assumptions!$C$11)*Model_B_Partner!$F$110*(1+F$14)/($A19-F$14)*(1-Assumptions!$C$10)/(1+$A19)^3)/1000000</f>
        <v>-2.70842757547798</v>
      </c>
    </row>
    <row r="21" customFormat="false" ht="15" hidden="false" customHeight="false" outlineLevel="0" collapsed="false">
      <c r="A21" s="7" t="s">
        <v>692</v>
      </c>
      <c r="B21" s="36" t="s">
        <v>805</v>
      </c>
    </row>
    <row r="22" customFormat="false" ht="15" hidden="false" customHeight="false" outlineLevel="0" collapsed="false">
      <c r="A22" s="36" t="s">
        <v>806</v>
      </c>
      <c r="B22" s="95" t="n">
        <v>0.01</v>
      </c>
      <c r="C22" s="95" t="n">
        <v>0.02</v>
      </c>
      <c r="D22" s="95" t="n">
        <v>0.03</v>
      </c>
      <c r="E22" s="95" t="n">
        <v>0.04</v>
      </c>
      <c r="F22" s="95" t="n">
        <v>0.05</v>
      </c>
    </row>
    <row r="23" customFormat="false" ht="15" hidden="false" customHeight="false" outlineLevel="0" collapsed="false">
      <c r="A23" s="95" t="n">
        <v>0.1</v>
      </c>
      <c r="B23" s="33" t="n">
        <f aca="false">(Model_C_Distributor!$C$102+Model_C_Distributor!$D$102/(1+$A23)+Model_C_Distributor!$E$102/(1+$A23)^2+Model_C_Distributor!$F$102/(1+$A23)^3+Assumptions!$C$11*(Model_C_Distributor!$D$124/(1+$A23)^4+Model_C_Distributor!$E$124/(1+$A23)^5+Model_C_Distributor!$F$124/(1+$A23)^6+Model_C_Distributor!$F$127*(1+B$22)/($A23-B$22)*(1-Assumptions!$C$10)/(1+$A23)^6)+(1-Assumptions!$C$11)*Model_C_Distributor!$F$110*(1+B$22)/($A23-B$22)*(1-Assumptions!$C$10)/(1+$A23)^3)/1000000</f>
        <v>-3.76313623180858</v>
      </c>
      <c r="C23" s="33" t="n">
        <f aca="false">(Model_C_Distributor!$C$102+Model_C_Distributor!$D$102/(1+$A23)+Model_C_Distributor!$E$102/(1+$A23)^2+Model_C_Distributor!$F$102/(1+$A23)^3+Assumptions!$C$11*(Model_C_Distributor!$D$124/(1+$A23)^4+Model_C_Distributor!$E$124/(1+$A23)^5+Model_C_Distributor!$F$124/(1+$A23)^6+Model_C_Distributor!$F$127*(1+C$22)/($A23-C$22)*(1-Assumptions!$C$10)/(1+$A23)^6)+(1-Assumptions!$C$11)*Model_C_Distributor!$F$110*(1+C$22)/($A23-C$22)*(1-Assumptions!$C$10)/(1+$A23)^3)/1000000</f>
        <v>-3.30637502047724</v>
      </c>
      <c r="D23" s="33" t="n">
        <f aca="false">(Model_C_Distributor!$C$102+Model_C_Distributor!$D$102/(1+$A23)+Model_C_Distributor!$E$102/(1+$A23)^2+Model_C_Distributor!$F$102/(1+$A23)^3+Assumptions!$C$11*(Model_C_Distributor!$D$124/(1+$A23)^4+Model_C_Distributor!$E$124/(1+$A23)^5+Model_C_Distributor!$F$124/(1+$A23)^6+Model_C_Distributor!$F$127*(1+D$22)/($A23-D$22)*(1-Assumptions!$C$10)/(1+$A23)^6)+(1-Assumptions!$C$11)*Model_C_Distributor!$F$110*(1+D$22)/($A23-D$22)*(1-Assumptions!$C$10)/(1+$A23)^3)/1000000</f>
        <v>-2.71911060590837</v>
      </c>
      <c r="E23" s="33" t="n">
        <f aca="false">(Model_C_Distributor!$C$102+Model_C_Distributor!$D$102/(1+$A23)+Model_C_Distributor!$E$102/(1+$A23)^2+Model_C_Distributor!$F$102/(1+$A23)^3+Assumptions!$C$11*(Model_C_Distributor!$D$124/(1+$A23)^4+Model_C_Distributor!$E$124/(1+$A23)^5+Model_C_Distributor!$F$124/(1+$A23)^6+Model_C_Distributor!$F$127*(1+E$22)/($A23-E$22)*(1-Assumptions!$C$10)/(1+$A23)^6)+(1-Assumptions!$C$11)*Model_C_Distributor!$F$110*(1+E$22)/($A23-E$22)*(1-Assumptions!$C$10)/(1+$A23)^3)/1000000</f>
        <v>-1.93609138648321</v>
      </c>
      <c r="F23" s="33" t="n">
        <f aca="false">(Model_C_Distributor!$C$102+Model_C_Distributor!$D$102/(1+$A23)+Model_C_Distributor!$E$102/(1+$A23)^2+Model_C_Distributor!$F$102/(1+$A23)^3+Assumptions!$C$11*(Model_C_Distributor!$D$124/(1+$A23)^4+Model_C_Distributor!$E$124/(1+$A23)^5+Model_C_Distributor!$F$124/(1+$A23)^6+Model_C_Distributor!$F$127*(1+F$22)/($A23-F$22)*(1-Assumptions!$C$10)/(1+$A23)^6)+(1-Assumptions!$C$11)*Model_C_Distributor!$F$110*(1+F$22)/($A23-F$22)*(1-Assumptions!$C$10)/(1+$A23)^3)/1000000</f>
        <v>-0.839864479287993</v>
      </c>
    </row>
    <row r="24" customFormat="false" ht="15" hidden="false" customHeight="false" outlineLevel="0" collapsed="false">
      <c r="A24" s="95" t="n">
        <v>0.11</v>
      </c>
      <c r="B24" s="33" t="n">
        <f aca="false">(Model_C_Distributor!$C$102+Model_C_Distributor!$D$102/(1+$A24)+Model_C_Distributor!$E$102/(1+$A24)^2+Model_C_Distributor!$F$102/(1+$A24)^3+Assumptions!$C$11*(Model_C_Distributor!$D$124/(1+$A24)^4+Model_C_Distributor!$E$124/(1+$A24)^5+Model_C_Distributor!$F$124/(1+$A24)^6+Model_C_Distributor!$F$127*(1+B$22)/($A24-B$22)*(1-Assumptions!$C$10)/(1+$A24)^6)+(1-Assumptions!$C$11)*Model_C_Distributor!$F$110*(1+B$22)/($A24-B$22)*(1-Assumptions!$C$10)/(1+$A24)^3)/1000000</f>
        <v>-4.17364341029343</v>
      </c>
      <c r="C24" s="33" t="n">
        <f aca="false">(Model_C_Distributor!$C$102+Model_C_Distributor!$D$102/(1+$A24)+Model_C_Distributor!$E$102/(1+$A24)^2+Model_C_Distributor!$F$102/(1+$A24)^3+Assumptions!$C$11*(Model_C_Distributor!$D$124/(1+$A24)^4+Model_C_Distributor!$E$124/(1+$A24)^5+Model_C_Distributor!$F$124/(1+$A24)^6+Model_C_Distributor!$F$127*(1+C$22)/($A24-C$22)*(1-Assumptions!$C$10)/(1+$A24)^6)+(1-Assumptions!$C$11)*Model_C_Distributor!$F$110*(1+C$22)/($A24-C$22)*(1-Assumptions!$C$10)/(1+$A24)^3)/1000000</f>
        <v>-3.82440039040841</v>
      </c>
      <c r="D24" s="33" t="n">
        <f aca="false">(Model_C_Distributor!$C$102+Model_C_Distributor!$D$102/(1+$A24)+Model_C_Distributor!$E$102/(1+$A24)^2+Model_C_Distributor!$F$102/(1+$A24)^3+Assumptions!$C$11*(Model_C_Distributor!$D$124/(1+$A24)^4+Model_C_Distributor!$E$124/(1+$A24)^5+Model_C_Distributor!$F$124/(1+$A24)^6+Model_C_Distributor!$F$127*(1+D$22)/($A24-D$22)*(1-Assumptions!$C$10)/(1+$A24)^6)+(1-Assumptions!$C$11)*Model_C_Distributor!$F$110*(1+D$22)/($A24-D$22)*(1-Assumptions!$C$10)/(1+$A24)^3)/1000000</f>
        <v>-3.38784661555215</v>
      </c>
      <c r="E24" s="33" t="n">
        <f aca="false">(Model_C_Distributor!$C$102+Model_C_Distributor!$D$102/(1+$A24)+Model_C_Distributor!$E$102/(1+$A24)^2+Model_C_Distributor!$F$102/(1+$A24)^3+Assumptions!$C$11*(Model_C_Distributor!$D$124/(1+$A24)^4+Model_C_Distributor!$E$124/(1+$A24)^5+Model_C_Distributor!$F$124/(1+$A24)^6+Model_C_Distributor!$F$127*(1+E$22)/($A24-E$22)*(1-Assumptions!$C$10)/(1+$A24)^6)+(1-Assumptions!$C$11)*Model_C_Distributor!$F$110*(1+E$22)/($A24-E$22)*(1-Assumptions!$C$10)/(1+$A24)^3)/1000000</f>
        <v>-2.82656319073695</v>
      </c>
      <c r="F24" s="33" t="n">
        <f aca="false">(Model_C_Distributor!$C$102+Model_C_Distributor!$D$102/(1+$A24)+Model_C_Distributor!$E$102/(1+$A24)^2+Model_C_Distributor!$F$102/(1+$A24)^3+Assumptions!$C$11*(Model_C_Distributor!$D$124/(1+$A24)^4+Model_C_Distributor!$E$124/(1+$A24)^5+Model_C_Distributor!$F$124/(1+$A24)^6+Model_C_Distributor!$F$127*(1+F$22)/($A24-F$22)*(1-Assumptions!$C$10)/(1+$A24)^6)+(1-Assumptions!$C$11)*Model_C_Distributor!$F$110*(1+F$22)/($A24-F$22)*(1-Assumptions!$C$10)/(1+$A24)^3)/1000000</f>
        <v>-2.07818529098335</v>
      </c>
    </row>
    <row r="25" customFormat="false" ht="15" hidden="false" customHeight="false" outlineLevel="0" collapsed="false">
      <c r="A25" s="95" t="n">
        <v>0.12</v>
      </c>
      <c r="B25" s="33" t="n">
        <f aca="false">(Model_C_Distributor!$C$102+Model_C_Distributor!$D$102/(1+$A25)+Model_C_Distributor!$E$102/(1+$A25)^2+Model_C_Distributor!$F$102/(1+$A25)^3+Assumptions!$C$11*(Model_C_Distributor!$D$124/(1+$A25)^4+Model_C_Distributor!$E$124/(1+$A25)^5+Model_C_Distributor!$F$124/(1+$A25)^6+Model_C_Distributor!$F$127*(1+B$22)/($A25-B$22)*(1-Assumptions!$C$10)/(1+$A25)^6)+(1-Assumptions!$C$11)*Model_C_Distributor!$F$110*(1+B$22)/($A25-B$22)*(1-Assumptions!$C$10)/(1+$A25)^3)/1000000</f>
        <v>-4.48712477297682</v>
      </c>
      <c r="C25" s="33" t="n">
        <f aca="false">(Model_C_Distributor!$C$102+Model_C_Distributor!$D$102/(1+$A25)+Model_C_Distributor!$E$102/(1+$A25)^2+Model_C_Distributor!$F$102/(1+$A25)^3+Assumptions!$C$11*(Model_C_Distributor!$D$124/(1+$A25)^4+Model_C_Distributor!$E$124/(1+$A25)^5+Model_C_Distributor!$F$124/(1+$A25)^6+Model_C_Distributor!$F$127*(1+C$22)/($A25-C$22)*(1-Assumptions!$C$10)/(1+$A25)^6)+(1-Assumptions!$C$11)*Model_C_Distributor!$F$110*(1+C$22)/($A25-C$22)*(1-Assumptions!$C$10)/(1+$A25)^3)/1000000</f>
        <v>-4.21391115666317</v>
      </c>
      <c r="D25" s="33" t="n">
        <f aca="false">(Model_C_Distributor!$C$102+Model_C_Distributor!$D$102/(1+$A25)+Model_C_Distributor!$E$102/(1+$A25)^2+Model_C_Distributor!$F$102/(1+$A25)^3+Assumptions!$C$11*(Model_C_Distributor!$D$124/(1+$A25)^4+Model_C_Distributor!$E$124/(1+$A25)^5+Model_C_Distributor!$F$124/(1+$A25)^6+Model_C_Distributor!$F$127*(1+D$22)/($A25-D$22)*(1-Assumptions!$C$10)/(1+$A25)^6)+(1-Assumptions!$C$11)*Model_C_Distributor!$F$110*(1+D$22)/($A25-D$22)*(1-Assumptions!$C$10)/(1+$A25)^3)/1000000</f>
        <v>-3.87998340339093</v>
      </c>
      <c r="E25" s="33" t="n">
        <f aca="false">(Model_C_Distributor!$C$102+Model_C_Distributor!$D$102/(1+$A25)+Model_C_Distributor!$E$102/(1+$A25)^2+Model_C_Distributor!$F$102/(1+$A25)^3+Assumptions!$C$11*(Model_C_Distributor!$D$124/(1+$A25)^4+Model_C_Distributor!$E$124/(1+$A25)^5+Model_C_Distributor!$F$124/(1+$A25)^6+Model_C_Distributor!$F$127*(1+E$22)/($A25-E$22)*(1-Assumptions!$C$10)/(1+$A25)^6)+(1-Assumptions!$C$11)*Model_C_Distributor!$F$110*(1+E$22)/($A25-E$22)*(1-Assumptions!$C$10)/(1+$A25)^3)/1000000</f>
        <v>-3.46257371180063</v>
      </c>
      <c r="F25" s="33" t="n">
        <f aca="false">(Model_C_Distributor!$C$102+Model_C_Distributor!$D$102/(1+$A25)+Model_C_Distributor!$E$102/(1+$A25)^2+Model_C_Distributor!$F$102/(1+$A25)^3+Assumptions!$C$11*(Model_C_Distributor!$D$124/(1+$A25)^4+Model_C_Distributor!$E$124/(1+$A25)^5+Model_C_Distributor!$F$124/(1+$A25)^6+Model_C_Distributor!$F$127*(1+F$22)/($A25-F$22)*(1-Assumptions!$C$10)/(1+$A25)^6)+(1-Assumptions!$C$11)*Model_C_Distributor!$F$110*(1+F$22)/($A25-F$22)*(1-Assumptions!$C$10)/(1+$A25)^3)/1000000</f>
        <v>-2.92590410832739</v>
      </c>
    </row>
    <row r="26" customFormat="false" ht="15" hidden="false" customHeight="false" outlineLevel="0" collapsed="false">
      <c r="A26" s="95" t="n">
        <v>0.14</v>
      </c>
      <c r="B26" s="33" t="n">
        <f aca="false">(Model_C_Distributor!$C$102+Model_C_Distributor!$D$102/(1+$A26)+Model_C_Distributor!$E$102/(1+$A26)^2+Model_C_Distributor!$F$102/(1+$A26)^3+Assumptions!$C$11*(Model_C_Distributor!$D$124/(1+$A26)^4+Model_C_Distributor!$E$124/(1+$A26)^5+Model_C_Distributor!$F$124/(1+$A26)^6+Model_C_Distributor!$F$127*(1+B$22)/($A26-B$22)*(1-Assumptions!$C$10)/(1+$A26)^6)+(1-Assumptions!$C$11)*Model_C_Distributor!$F$110*(1+B$22)/($A26-B$22)*(1-Assumptions!$C$10)/(1+$A26)^3)/1000000</f>
        <v>-4.9161722522577</v>
      </c>
      <c r="C26" s="33" t="n">
        <f aca="false">(Model_C_Distributor!$C$102+Model_C_Distributor!$D$102/(1+$A26)+Model_C_Distributor!$E$102/(1+$A26)^2+Model_C_Distributor!$F$102/(1+$A26)^3+Assumptions!$C$11*(Model_C_Distributor!$D$124/(1+$A26)^4+Model_C_Distributor!$E$124/(1+$A26)^5+Model_C_Distributor!$F$124/(1+$A26)^6+Model_C_Distributor!$F$127*(1+C$22)/($A26-C$22)*(1-Assumptions!$C$10)/(1+$A26)^6)+(1-Assumptions!$C$11)*Model_C_Distributor!$F$110*(1+C$22)/($A26-C$22)*(1-Assumptions!$C$10)/(1+$A26)^3)/1000000</f>
        <v>-4.73983816132346</v>
      </c>
      <c r="D26" s="33" t="n">
        <f aca="false">(Model_C_Distributor!$C$102+Model_C_Distributor!$D$102/(1+$A26)+Model_C_Distributor!$E$102/(1+$A26)^2+Model_C_Distributor!$F$102/(1+$A26)^3+Assumptions!$C$11*(Model_C_Distributor!$D$124/(1+$A26)^4+Model_C_Distributor!$E$124/(1+$A26)^5+Model_C_Distributor!$F$124/(1+$A26)^6+Model_C_Distributor!$F$127*(1+D$22)/($A26-D$22)*(1-Assumptions!$C$10)/(1+$A26)^6)+(1-Assumptions!$C$11)*Model_C_Distributor!$F$110*(1+D$22)/($A26-D$22)*(1-Assumptions!$C$10)/(1+$A26)^3)/1000000</f>
        <v>-4.531443326583</v>
      </c>
      <c r="E26" s="33" t="n">
        <f aca="false">(Model_C_Distributor!$C$102+Model_C_Distributor!$D$102/(1+$A26)+Model_C_Distributor!$E$102/(1+$A26)^2+Model_C_Distributor!$F$102/(1+$A26)^3+Assumptions!$C$11*(Model_C_Distributor!$D$124/(1+$A26)^4+Model_C_Distributor!$E$124/(1+$A26)^5+Model_C_Distributor!$F$124/(1+$A26)^6+Model_C_Distributor!$F$127*(1+E$22)/($A26-E$22)*(1-Assumptions!$C$10)/(1+$A26)^6)+(1-Assumptions!$C$11)*Model_C_Distributor!$F$110*(1+E$22)/($A26-E$22)*(1-Assumptions!$C$10)/(1+$A26)^3)/1000000</f>
        <v>-4.28136952489444</v>
      </c>
      <c r="F26" s="33" t="n">
        <f aca="false">(Model_C_Distributor!$C$102+Model_C_Distributor!$D$102/(1+$A26)+Model_C_Distributor!$E$102/(1+$A26)^2+Model_C_Distributor!$F$102/(1+$A26)^3+Assumptions!$C$11*(Model_C_Distributor!$D$124/(1+$A26)^4+Model_C_Distributor!$E$124/(1+$A26)^5+Model_C_Distributor!$F$124/(1+$A26)^6+Model_C_Distributor!$F$127*(1+F$22)/($A26-F$22)*(1-Assumptions!$C$10)/(1+$A26)^6)+(1-Assumptions!$C$11)*Model_C_Distributor!$F$110*(1+F$22)/($A26-F$22)*(1-Assumptions!$C$10)/(1+$A26)^3)/1000000</f>
        <v>-3.97572376727509</v>
      </c>
    </row>
    <row r="27" customFormat="false" ht="15" hidden="false" customHeight="false" outlineLevel="0" collapsed="false">
      <c r="A27" s="95" t="n">
        <v>0.16</v>
      </c>
      <c r="B27" s="33" t="n">
        <f aca="false">(Model_C_Distributor!$C$102+Model_C_Distributor!$D$102/(1+$A27)+Model_C_Distributor!$E$102/(1+$A27)^2+Model_C_Distributor!$F$102/(1+$A27)^3+Assumptions!$C$11*(Model_C_Distributor!$D$124/(1+$A27)^4+Model_C_Distributor!$E$124/(1+$A27)^5+Model_C_Distributor!$F$124/(1+$A27)^6+Model_C_Distributor!$F$127*(1+B$22)/($A27-B$22)*(1-Assumptions!$C$10)/(1+$A27)^6)+(1-Assumptions!$C$11)*Model_C_Distributor!$F$110*(1+B$22)/($A27-B$22)*(1-Assumptions!$C$10)/(1+$A27)^3)/1000000</f>
        <v>-5.17405781162223</v>
      </c>
      <c r="C27" s="33" t="n">
        <f aca="false">(Model_C_Distributor!$C$102+Model_C_Distributor!$D$102/(1+$A27)+Model_C_Distributor!$E$102/(1+$A27)^2+Model_C_Distributor!$F$102/(1+$A27)^3+Assumptions!$C$11*(Model_C_Distributor!$D$124/(1+$A27)^4+Model_C_Distributor!$E$124/(1+$A27)^5+Model_C_Distributor!$F$124/(1+$A27)^6+Model_C_Distributor!$F$127*(1+C$22)/($A27-C$22)*(1-Assumptions!$C$10)/(1+$A27)^6)+(1-Assumptions!$C$11)*Model_C_Distributor!$F$110*(1+C$22)/($A27-C$22)*(1-Assumptions!$C$10)/(1+$A27)^3)/1000000</f>
        <v>-5.05397636882331</v>
      </c>
      <c r="D27" s="33" t="n">
        <f aca="false">(Model_C_Distributor!$C$102+Model_C_Distributor!$D$102/(1+$A27)+Model_C_Distributor!$E$102/(1+$A27)^2+Model_C_Distributor!$F$102/(1+$A27)^3+Assumptions!$C$11*(Model_C_Distributor!$D$124/(1+$A27)^4+Model_C_Distributor!$E$124/(1+$A27)^5+Model_C_Distributor!$F$124/(1+$A27)^6+Model_C_Distributor!$F$127*(1+D$22)/($A27-D$22)*(1-Assumptions!$C$10)/(1+$A27)^6)+(1-Assumptions!$C$11)*Model_C_Distributor!$F$110*(1+D$22)/($A27-D$22)*(1-Assumptions!$C$10)/(1+$A27)^3)/1000000</f>
        <v>-4.91542085790148</v>
      </c>
      <c r="E27" s="33" t="n">
        <f aca="false">(Model_C_Distributor!$C$102+Model_C_Distributor!$D$102/(1+$A27)+Model_C_Distributor!$E$102/(1+$A27)^2+Model_C_Distributor!$F$102/(1+$A27)^3+Assumptions!$C$11*(Model_C_Distributor!$D$124/(1+$A27)^4+Model_C_Distributor!$E$124/(1+$A27)^5+Model_C_Distributor!$F$124/(1+$A27)^6+Model_C_Distributor!$F$127*(1+E$22)/($A27-E$22)*(1-Assumptions!$C$10)/(1+$A27)^6)+(1-Assumptions!$C$11)*Model_C_Distributor!$F$110*(1+E$22)/($A27-E$22)*(1-Assumptions!$C$10)/(1+$A27)^3)/1000000</f>
        <v>-4.75377276182601</v>
      </c>
      <c r="F27" s="33" t="n">
        <f aca="false">(Model_C_Distributor!$C$102+Model_C_Distributor!$D$102/(1+$A27)+Model_C_Distributor!$E$102/(1+$A27)^2+Model_C_Distributor!$F$102/(1+$A27)^3+Assumptions!$C$11*(Model_C_Distributor!$D$124/(1+$A27)^4+Model_C_Distributor!$E$124/(1+$A27)^5+Model_C_Distributor!$F$124/(1+$A27)^6+Model_C_Distributor!$F$127*(1+F$22)/($A27-F$22)*(1-Assumptions!$C$10)/(1+$A27)^6)+(1-Assumptions!$C$11)*Model_C_Distributor!$F$110*(1+F$22)/($A27-F$22)*(1-Assumptions!$C$10)/(1+$A27)^3)/1000000</f>
        <v>-4.56273410282773</v>
      </c>
    </row>
    <row r="29" customFormat="false" ht="15" hidden="false" customHeight="false" outlineLevel="0" collapsed="false">
      <c r="A29" s="7" t="s">
        <v>693</v>
      </c>
      <c r="B29" s="36" t="s">
        <v>805</v>
      </c>
    </row>
    <row r="30" customFormat="false" ht="15" hidden="false" customHeight="false" outlineLevel="0" collapsed="false">
      <c r="A30" s="36" t="s">
        <v>806</v>
      </c>
      <c r="B30" s="95" t="n">
        <v>0.01</v>
      </c>
      <c r="C30" s="95" t="n">
        <v>0.02</v>
      </c>
      <c r="D30" s="95" t="n">
        <v>0.03</v>
      </c>
      <c r="E30" s="95" t="n">
        <v>0.04</v>
      </c>
      <c r="F30" s="95" t="n">
        <v>0.05</v>
      </c>
    </row>
    <row r="31" customFormat="false" ht="15" hidden="false" customHeight="false" outlineLevel="0" collapsed="false">
      <c r="A31" s="95" t="n">
        <v>0.1</v>
      </c>
      <c r="B31" s="33" t="n">
        <f aca="false">(Model_B_Plus!$C$102+Model_B_Plus!$D$102/(1+$A31)+Model_B_Plus!$E$102/(1+$A31)^2+Model_B_Plus!$F$102/(1+$A31)^3+Assumptions!$C$11*(Model_B_Plus!$D$124/(1+$A31)^4+Model_B_Plus!$E$124/(1+$A31)^5+Model_B_Plus!$F$124/(1+$A31)^6+Model_B_Plus!$F$127*(1+B$30)/($A31-B$30)*(1-Assumptions!$C$10)/(1+$A31)^6)+(1-Assumptions!$C$11)*Model_B_Plus!$F$110*(1+B$30)/($A31-B$30)*(1-Assumptions!$C$10)/(1+$A31)^3)/1000000</f>
        <v>6.69351189507334</v>
      </c>
      <c r="C31" s="33" t="n">
        <f aca="false">(Model_B_Plus!$C$102+Model_B_Plus!$D$102/(1+$A31)+Model_B_Plus!$E$102/(1+$A31)^2+Model_B_Plus!$F$102/(1+$A31)^3+Assumptions!$C$11*(Model_B_Plus!$D$124/(1+$A31)^4+Model_B_Plus!$E$124/(1+$A31)^5+Model_B_Plus!$F$124/(1+$A31)^6+Model_B_Plus!$F$127*(1+C$30)/($A31-C$30)*(1-Assumptions!$C$10)/(1+$A31)^6)+(1-Assumptions!$C$11)*Model_B_Plus!$F$110*(1+C$30)/($A31-C$30)*(1-Assumptions!$C$10)/(1+$A31)^3)/1000000</f>
        <v>8.12708479068883</v>
      </c>
      <c r="D31" s="33" t="n">
        <f aca="false">(Model_B_Plus!$C$102+Model_B_Plus!$D$102/(1+$A31)+Model_B_Plus!$E$102/(1+$A31)^2+Model_B_Plus!$F$102/(1+$A31)^3+Assumptions!$C$11*(Model_B_Plus!$D$124/(1+$A31)^4+Model_B_Plus!$E$124/(1+$A31)^5+Model_B_Plus!$F$124/(1+$A31)^6+Model_B_Plus!$F$127*(1+D$30)/($A31-D$30)*(1-Assumptions!$C$10)/(1+$A31)^6)+(1-Assumptions!$C$11)*Model_B_Plus!$F$110*(1+D$30)/($A31-D$30)*(1-Assumptions!$C$10)/(1+$A31)^3)/1000000</f>
        <v>9.97024994219446</v>
      </c>
      <c r="E31" s="33" t="n">
        <f aca="false">(Model_B_Plus!$C$102+Model_B_Plus!$D$102/(1+$A31)+Model_B_Plus!$E$102/(1+$A31)^2+Model_B_Plus!$F$102/(1+$A31)^3+Assumptions!$C$11*(Model_B_Plus!$D$124/(1+$A31)^4+Model_B_Plus!$E$124/(1+$A31)^5+Model_B_Plus!$F$124/(1+$A31)^6+Model_B_Plus!$F$127*(1+E$30)/($A31-E$30)*(1-Assumptions!$C$10)/(1+$A31)^6)+(1-Assumptions!$C$11)*Model_B_Plus!$F$110*(1+E$30)/($A31-E$30)*(1-Assumptions!$C$10)/(1+$A31)^3)/1000000</f>
        <v>12.4278034775353</v>
      </c>
      <c r="F31" s="33" t="n">
        <f aca="false">(Model_B_Plus!$C$102+Model_B_Plus!$D$102/(1+$A31)+Model_B_Plus!$E$102/(1+$A31)^2+Model_B_Plus!$F$102/(1+$A31)^3+Assumptions!$C$11*(Model_B_Plus!$D$124/(1+$A31)^4+Model_B_Plus!$E$124/(1+$A31)^5+Model_B_Plus!$F$124/(1+$A31)^6+Model_B_Plus!$F$127*(1+F$30)/($A31-F$30)*(1-Assumptions!$C$10)/(1+$A31)^6)+(1-Assumptions!$C$11)*Model_B_Plus!$F$110*(1+F$30)/($A31-F$30)*(1-Assumptions!$C$10)/(1+$A31)^3)/1000000</f>
        <v>15.8683784270125</v>
      </c>
    </row>
    <row r="32" customFormat="false" ht="15" hidden="false" customHeight="false" outlineLevel="0" collapsed="false">
      <c r="A32" s="95" t="n">
        <v>0.11</v>
      </c>
      <c r="B32" s="33" t="n">
        <f aca="false">(Model_B_Plus!$C$102+Model_B_Plus!$D$102/(1+$A32)+Model_B_Plus!$E$102/(1+$A32)^2+Model_B_Plus!$F$102/(1+$A32)^3+Assumptions!$C$11*(Model_B_Plus!$D$124/(1+$A32)^4+Model_B_Plus!$E$124/(1+$A32)^5+Model_B_Plus!$F$124/(1+$A32)^6+Model_B_Plus!$F$127*(1+B$30)/($A32-B$30)*(1-Assumptions!$C$10)/(1+$A32)^6)+(1-Assumptions!$C$11)*Model_B_Plus!$F$110*(1+B$30)/($A32-B$30)*(1-Assumptions!$C$10)/(1+$A32)^3)/1000000</f>
        <v>5.08811085553772</v>
      </c>
      <c r="C32" s="33" t="n">
        <f aca="false">(Model_B_Plus!$C$102+Model_B_Plus!$D$102/(1+$A32)+Model_B_Plus!$E$102/(1+$A32)^2+Model_B_Plus!$F$102/(1+$A32)^3+Assumptions!$C$11*(Model_B_Plus!$D$124/(1+$A32)^4+Model_B_Plus!$E$124/(1+$A32)^5+Model_B_Plus!$F$124/(1+$A32)^6+Model_B_Plus!$F$127*(1+C$30)/($A32-C$30)*(1-Assumptions!$C$10)/(1+$A32)^6)+(1-Assumptions!$C$11)*Model_B_Plus!$F$110*(1+C$30)/($A32-C$30)*(1-Assumptions!$C$10)/(1+$A32)^3)/1000000</f>
        <v>6.18423135541717</v>
      </c>
      <c r="D32" s="33" t="n">
        <f aca="false">(Model_B_Plus!$C$102+Model_B_Plus!$D$102/(1+$A32)+Model_B_Plus!$E$102/(1+$A32)^2+Model_B_Plus!$F$102/(1+$A32)^3+Assumptions!$C$11*(Model_B_Plus!$D$124/(1+$A32)^4+Model_B_Plus!$E$124/(1+$A32)^5+Model_B_Plus!$F$124/(1+$A32)^6+Model_B_Plus!$F$127*(1+D$30)/($A32-D$30)*(1-Assumptions!$C$10)/(1+$A32)^6)+(1-Assumptions!$C$11)*Model_B_Plus!$F$110*(1+D$30)/($A32-D$30)*(1-Assumptions!$C$10)/(1+$A32)^3)/1000000</f>
        <v>7.55438198026649</v>
      </c>
      <c r="E32" s="33" t="n">
        <f aca="false">(Model_B_Plus!$C$102+Model_B_Plus!$D$102/(1+$A32)+Model_B_Plus!$E$102/(1+$A32)^2+Model_B_Plus!$F$102/(1+$A32)^3+Assumptions!$C$11*(Model_B_Plus!$D$124/(1+$A32)^4+Model_B_Plus!$E$124/(1+$A32)^5+Model_B_Plus!$F$124/(1+$A32)^6+Model_B_Plus!$F$127*(1+E$30)/($A32-E$30)*(1-Assumptions!$C$10)/(1+$A32)^6)+(1-Assumptions!$C$11)*Model_B_Plus!$F$110*(1+E$30)/($A32-E$30)*(1-Assumptions!$C$10)/(1+$A32)^3)/1000000</f>
        <v>9.3160042122156</v>
      </c>
      <c r="F32" s="33" t="n">
        <f aca="false">(Model_B_Plus!$C$102+Model_B_Plus!$D$102/(1+$A32)+Model_B_Plus!$E$102/(1+$A32)^2+Model_B_Plus!$F$102/(1+$A32)^3+Assumptions!$C$11*(Model_B_Plus!$D$124/(1+$A32)^4+Model_B_Plus!$E$124/(1+$A32)^5+Model_B_Plus!$F$124/(1+$A32)^6+Model_B_Plus!$F$127*(1+F$30)/($A32-F$30)*(1-Assumptions!$C$10)/(1+$A32)^6)+(1-Assumptions!$C$11)*Model_B_Plus!$F$110*(1+F$30)/($A32-F$30)*(1-Assumptions!$C$10)/(1+$A32)^3)/1000000</f>
        <v>11.6648338548144</v>
      </c>
    </row>
    <row r="33" customFormat="false" ht="15" hidden="false" customHeight="false" outlineLevel="0" collapsed="false">
      <c r="A33" s="95" t="n">
        <v>0.12</v>
      </c>
      <c r="B33" s="33" t="n">
        <f aca="false">(Model_B_Plus!$C$102+Model_B_Plus!$D$102/(1+$A33)+Model_B_Plus!$E$102/(1+$A33)^2+Model_B_Plus!$F$102/(1+$A33)^3+Assumptions!$C$11*(Model_B_Plus!$D$124/(1+$A33)^4+Model_B_Plus!$E$124/(1+$A33)^5+Model_B_Plus!$F$124/(1+$A33)^6+Model_B_Plus!$F$127*(1+B$30)/($A33-B$30)*(1-Assumptions!$C$10)/(1+$A33)^6)+(1-Assumptions!$C$11)*Model_B_Plus!$F$110*(1+B$30)/($A33-B$30)*(1-Assumptions!$C$10)/(1+$A33)^3)/1000000</f>
        <v>3.79813195128008</v>
      </c>
      <c r="C33" s="33" t="n">
        <f aca="false">(Model_B_Plus!$C$102+Model_B_Plus!$D$102/(1+$A33)+Model_B_Plus!$E$102/(1+$A33)^2+Model_B_Plus!$F$102/(1+$A33)^3+Assumptions!$C$11*(Model_B_Plus!$D$124/(1+$A33)^4+Model_B_Plus!$E$124/(1+$A33)^5+Model_B_Plus!$F$124/(1+$A33)^6+Model_B_Plus!$F$127*(1+C$30)/($A33-C$30)*(1-Assumptions!$C$10)/(1+$A33)^6)+(1-Assumptions!$C$11)*Model_B_Plus!$F$110*(1+C$30)/($A33-C$30)*(1-Assumptions!$C$10)/(1+$A33)^3)/1000000</f>
        <v>4.65562953501474</v>
      </c>
      <c r="D33" s="33" t="n">
        <f aca="false">(Model_B_Plus!$C$102+Model_B_Plus!$D$102/(1+$A33)+Model_B_Plus!$E$102/(1+$A33)^2+Model_B_Plus!$F$102/(1+$A33)^3+Assumptions!$C$11*(Model_B_Plus!$D$124/(1+$A33)^4+Model_B_Plus!$E$124/(1+$A33)^5+Model_B_Plus!$F$124/(1+$A33)^6+Model_B_Plus!$F$127*(1+D$30)/($A33-D$30)*(1-Assumptions!$C$10)/(1+$A33)^6)+(1-Assumptions!$C$11)*Model_B_Plus!$F$110*(1+D$30)/($A33-D$30)*(1-Assumptions!$C$10)/(1+$A33)^3)/1000000</f>
        <v>5.70368213735708</v>
      </c>
      <c r="E33" s="33" t="n">
        <f aca="false">(Model_B_Plus!$C$102+Model_B_Plus!$D$102/(1+$A33)+Model_B_Plus!$E$102/(1+$A33)^2+Model_B_Plus!$F$102/(1+$A33)^3+Assumptions!$C$11*(Model_B_Plus!$D$124/(1+$A33)^4+Model_B_Plus!$E$124/(1+$A33)^5+Model_B_Plus!$F$124/(1+$A33)^6+Model_B_Plus!$F$127*(1+E$30)/($A33-E$30)*(1-Assumptions!$C$10)/(1+$A33)^6)+(1-Assumptions!$C$11)*Model_B_Plus!$F$110*(1+E$30)/($A33-E$30)*(1-Assumptions!$C$10)/(1+$A33)^3)/1000000</f>
        <v>7.01374789028502</v>
      </c>
      <c r="F33" s="33" t="n">
        <f aca="false">(Model_B_Plus!$C$102+Model_B_Plus!$D$102/(1+$A33)+Model_B_Plus!$E$102/(1+$A33)^2+Model_B_Plus!$F$102/(1+$A33)^3+Assumptions!$C$11*(Model_B_Plus!$D$124/(1+$A33)^4+Model_B_Plus!$E$124/(1+$A33)^5+Model_B_Plus!$F$124/(1+$A33)^6+Model_B_Plus!$F$127*(1+F$30)/($A33-F$30)*(1-Assumptions!$C$10)/(1+$A33)^6)+(1-Assumptions!$C$11)*Model_B_Plus!$F$110*(1+F$30)/($A33-F$30)*(1-Assumptions!$C$10)/(1+$A33)^3)/1000000</f>
        <v>8.69811814404952</v>
      </c>
    </row>
    <row r="34" customFormat="false" ht="15" hidden="false" customHeight="false" outlineLevel="0" collapsed="false">
      <c r="A34" s="95" t="n">
        <v>0.14</v>
      </c>
      <c r="B34" s="33" t="n">
        <f aca="false">(Model_B_Plus!$C$102+Model_B_Plus!$D$102/(1+$A34)+Model_B_Plus!$E$102/(1+$A34)^2+Model_B_Plus!$F$102/(1+$A34)^3+Assumptions!$C$11*(Model_B_Plus!$D$124/(1+$A34)^4+Model_B_Plus!$E$124/(1+$A34)^5+Model_B_Plus!$F$124/(1+$A34)^6+Model_B_Plus!$F$127*(1+B$30)/($A34-B$30)*(1-Assumptions!$C$10)/(1+$A34)^6)+(1-Assumptions!$C$11)*Model_B_Plus!$F$110*(1+B$30)/($A34-B$30)*(1-Assumptions!$C$10)/(1+$A34)^3)/1000000</f>
        <v>1.87004491398377</v>
      </c>
      <c r="C34" s="33" t="n">
        <f aca="false">(Model_B_Plus!$C$102+Model_B_Plus!$D$102/(1+$A34)+Model_B_Plus!$E$102/(1+$A34)^2+Model_B_Plus!$F$102/(1+$A34)^3+Assumptions!$C$11*(Model_B_Plus!$D$124/(1+$A34)^4+Model_B_Plus!$E$124/(1+$A34)^5+Model_B_Plus!$F$124/(1+$A34)^6+Model_B_Plus!$F$127*(1+C$30)/($A34-C$30)*(1-Assumptions!$C$10)/(1+$A34)^6)+(1-Assumptions!$C$11)*Model_B_Plus!$F$110*(1+C$30)/($A34-C$30)*(1-Assumptions!$C$10)/(1+$A34)^3)/1000000</f>
        <v>2.42348020372632</v>
      </c>
      <c r="D34" s="33" t="n">
        <f aca="false">(Model_B_Plus!$C$102+Model_B_Plus!$D$102/(1+$A34)+Model_B_Plus!$E$102/(1+$A34)^2+Model_B_Plus!$F$102/(1+$A34)^3+Assumptions!$C$11*(Model_B_Plus!$D$124/(1+$A34)^4+Model_B_Plus!$E$124/(1+$A34)^5+Model_B_Plus!$F$124/(1+$A34)^6+Model_B_Plus!$F$127*(1+D$30)/($A34-D$30)*(1-Assumptions!$C$10)/(1+$A34)^6)+(1-Assumptions!$C$11)*Model_B_Plus!$F$110*(1+D$30)/($A34-D$30)*(1-Assumptions!$C$10)/(1+$A34)^3)/1000000</f>
        <v>3.07754009160389</v>
      </c>
      <c r="E34" s="33" t="n">
        <f aca="false">(Model_B_Plus!$C$102+Model_B_Plus!$D$102/(1+$A34)+Model_B_Plus!$E$102/(1+$A34)^2+Model_B_Plus!$F$102/(1+$A34)^3+Assumptions!$C$11*(Model_B_Plus!$D$124/(1+$A34)^4+Model_B_Plus!$E$124/(1+$A34)^5+Model_B_Plus!$F$124/(1+$A34)^6+Model_B_Plus!$F$127*(1+E$30)/($A34-E$30)*(1-Assumptions!$C$10)/(1+$A34)^6)+(1-Assumptions!$C$11)*Model_B_Plus!$F$110*(1+E$30)/($A34-E$30)*(1-Assumptions!$C$10)/(1+$A34)^3)/1000000</f>
        <v>3.86241195705698</v>
      </c>
      <c r="F34" s="33" t="n">
        <f aca="false">(Model_B_Plus!$C$102+Model_B_Plus!$D$102/(1+$A34)+Model_B_Plus!$E$102/(1+$A34)^2+Model_B_Plus!$F$102/(1+$A34)^3+Assumptions!$C$11*(Model_B_Plus!$D$124/(1+$A34)^4+Model_B_Plus!$E$124/(1+$A34)^5+Model_B_Plus!$F$124/(1+$A34)^6+Model_B_Plus!$F$127*(1+F$30)/($A34-F$30)*(1-Assumptions!$C$10)/(1+$A34)^6)+(1-Assumptions!$C$11)*Model_B_Plus!$F$110*(1+F$30)/($A34-F$30)*(1-Assumptions!$C$10)/(1+$A34)^3)/1000000</f>
        <v>4.82169979261074</v>
      </c>
    </row>
    <row r="35" customFormat="false" ht="15" hidden="false" customHeight="false" outlineLevel="0" collapsed="false">
      <c r="A35" s="95" t="n">
        <v>0.16</v>
      </c>
      <c r="B35" s="33" t="n">
        <f aca="false">(Model_B_Plus!$C$102+Model_B_Plus!$D$102/(1+$A35)+Model_B_Plus!$E$102/(1+$A35)^2+Model_B_Plus!$F$102/(1+$A35)^3+Assumptions!$C$11*(Model_B_Plus!$D$124/(1+$A35)^4+Model_B_Plus!$E$124/(1+$A35)^5+Model_B_Plus!$F$124/(1+$A35)^6+Model_B_Plus!$F$127*(1+B$30)/($A35-B$30)*(1-Assumptions!$C$10)/(1+$A35)^6)+(1-Assumptions!$C$11)*Model_B_Plus!$F$110*(1+B$30)/($A35-B$30)*(1-Assumptions!$C$10)/(1+$A35)^3)/1000000</f>
        <v>0.517040730190484</v>
      </c>
      <c r="C35" s="33" t="n">
        <f aca="false">(Model_B_Plus!$C$102+Model_B_Plus!$D$102/(1+$A35)+Model_B_Plus!$E$102/(1+$A35)^2+Model_B_Plus!$F$102/(1+$A35)^3+Assumptions!$C$11*(Model_B_Plus!$D$124/(1+$A35)^4+Model_B_Plus!$E$124/(1+$A35)^5+Model_B_Plus!$F$124/(1+$A35)^6+Model_B_Plus!$F$127*(1+C$30)/($A35-C$30)*(1-Assumptions!$C$10)/(1+$A35)^6)+(1-Assumptions!$C$11)*Model_B_Plus!$F$110*(1+C$30)/($A35-C$30)*(1-Assumptions!$C$10)/(1+$A35)^3)/1000000</f>
        <v>0.89392365586881</v>
      </c>
      <c r="D35" s="33" t="n">
        <f aca="false">(Model_B_Plus!$C$102+Model_B_Plus!$D$102/(1+$A35)+Model_B_Plus!$E$102/(1+$A35)^2+Model_B_Plus!$F$102/(1+$A35)^3+Assumptions!$C$11*(Model_B_Plus!$D$124/(1+$A35)^4+Model_B_Plus!$E$124/(1+$A35)^5+Model_B_Plus!$F$124/(1+$A35)^6+Model_B_Plus!$F$127*(1+D$30)/($A35-D$30)*(1-Assumptions!$C$10)/(1+$A35)^6)+(1-Assumptions!$C$11)*Model_B_Plus!$F$110*(1+D$30)/($A35-D$30)*(1-Assumptions!$C$10)/(1+$A35)^3)/1000000</f>
        <v>1.32878857011303</v>
      </c>
      <c r="E35" s="33" t="n">
        <f aca="false">(Model_B_Plus!$C$102+Model_B_Plus!$D$102/(1+$A35)+Model_B_Plus!$E$102/(1+$A35)^2+Model_B_Plus!$F$102/(1+$A35)^3+Assumptions!$C$11*(Model_B_Plus!$D$124/(1+$A35)^4+Model_B_Plus!$E$124/(1+$A35)^5+Model_B_Plus!$F$124/(1+$A35)^6+Model_B_Plus!$F$127*(1+E$30)/($A35-E$30)*(1-Assumptions!$C$10)/(1+$A35)^6)+(1-Assumptions!$C$11)*Model_B_Plus!$F$110*(1+E$30)/($A35-E$30)*(1-Assumptions!$C$10)/(1+$A35)^3)/1000000</f>
        <v>1.83613097006463</v>
      </c>
      <c r="F35" s="33" t="n">
        <f aca="false">(Model_B_Plus!$C$102+Model_B_Plus!$D$102/(1+$A35)+Model_B_Plus!$E$102/(1+$A35)^2+Model_B_Plus!$F$102/(1+$A35)^3+Assumptions!$C$11*(Model_B_Plus!$D$124/(1+$A35)^4+Model_B_Plus!$E$124/(1+$A35)^5+Model_B_Plus!$F$124/(1+$A35)^6+Model_B_Plus!$F$127*(1+F$30)/($A35-F$30)*(1-Assumptions!$C$10)/(1+$A35)^6)+(1-Assumptions!$C$11)*Model_B_Plus!$F$110*(1+F$30)/($A35-F$30)*(1-Assumptions!$C$10)/(1+$A35)^3)/1000000</f>
        <v>2.43571744273469</v>
      </c>
    </row>
    <row r="37" customFormat="false" ht="15" hidden="false" customHeight="false" outlineLevel="0" collapsed="false">
      <c r="A37" s="4" t="s">
        <v>807</v>
      </c>
      <c r="B37" s="5"/>
      <c r="C37" s="5"/>
      <c r="D37" s="5"/>
      <c r="E37" s="5"/>
      <c r="F37" s="5"/>
      <c r="G37" s="5"/>
      <c r="H37" s="5"/>
      <c r="I37" s="5"/>
    </row>
    <row r="38" customFormat="false" ht="15" hidden="false" customHeight="false" outlineLevel="0" collapsed="false">
      <c r="A38" s="16" t="s">
        <v>808</v>
      </c>
      <c r="B38" s="17" t="s">
        <v>809</v>
      </c>
      <c r="C38" s="17" t="s">
        <v>810</v>
      </c>
      <c r="D38" s="17" t="s">
        <v>811</v>
      </c>
      <c r="E38" s="17" t="s">
        <v>368</v>
      </c>
      <c r="F38" s="17"/>
      <c r="G38" s="17"/>
      <c r="H38" s="17"/>
      <c r="I38" s="17" t="s">
        <v>363</v>
      </c>
    </row>
    <row r="39" customFormat="false" ht="32.8" hidden="false" customHeight="false" outlineLevel="0" collapsed="false">
      <c r="A39" s="96" t="n">
        <v>20.7</v>
      </c>
      <c r="B39" s="74" t="n">
        <f aca="false">Model_A_Direct!$C$146*$A39/10000000</f>
        <v>-5.43149297428588</v>
      </c>
      <c r="C39" s="74" t="n">
        <f aca="false">Model_B_Partner!$C$146*$A39/10000000</f>
        <v>-1.07223725358164</v>
      </c>
      <c r="D39" s="74" t="n">
        <f aca="false">Model_C_Distributor!$C$146*$A39/10000000</f>
        <v>-8.03156564501922</v>
      </c>
      <c r="E39" s="74" t="n">
        <f aca="false">Model_B_Plus!$C$146*$A39/10000000</f>
        <v>11.8066220243292</v>
      </c>
      <c r="I39" s="51" t="s">
        <v>812</v>
      </c>
    </row>
    <row r="40" customFormat="false" ht="15" hidden="false" customHeight="false" outlineLevel="0" collapsed="false">
      <c r="A40" s="96" t="n">
        <v>22</v>
      </c>
      <c r="B40" s="74" t="n">
        <f aca="false">Model_A_Direct!$C$146*$A40/10000000</f>
        <v>-5.77260122870963</v>
      </c>
      <c r="C40" s="74" t="n">
        <f aca="false">Model_B_Partner!$C$146*$A40/10000000</f>
        <v>-1.13957582506261</v>
      </c>
      <c r="D40" s="74" t="n">
        <f aca="false">Model_C_Distributor!$C$146*$A40/10000000</f>
        <v>-8.53596348746005</v>
      </c>
      <c r="E40" s="74" t="n">
        <f aca="false">Model_B_Plus!$C$146*$A40/10000000</f>
        <v>12.5481007021856</v>
      </c>
    </row>
    <row r="41" customFormat="false" ht="15" hidden="false" customHeight="false" outlineLevel="0" collapsed="false">
      <c r="A41" s="96" t="n">
        <v>23.5</v>
      </c>
      <c r="B41" s="74" t="n">
        <f aca="false">Model_A_Direct!$C$146*$A41/10000000</f>
        <v>-6.16618767612165</v>
      </c>
      <c r="C41" s="74" t="n">
        <f aca="false">Model_B_Partner!$C$146*$A41/10000000</f>
        <v>-1.21727417677143</v>
      </c>
      <c r="D41" s="74" t="n">
        <f aca="false">Model_C_Distributor!$C$146*$A41/10000000</f>
        <v>-9.11796099796868</v>
      </c>
      <c r="E41" s="74" t="n">
        <f aca="false">Model_B_Plus!$C$146*$A41/10000000</f>
        <v>13.4036530227891</v>
      </c>
    </row>
    <row r="42" customFormat="false" ht="15" hidden="false" customHeight="false" outlineLevel="0" collapsed="false">
      <c r="A42" s="96" t="n">
        <v>24.4</v>
      </c>
      <c r="B42" s="74" t="n">
        <f aca="false">Model_A_Direct!$C$146*$A42/10000000</f>
        <v>-6.40233954456886</v>
      </c>
      <c r="C42" s="74" t="n">
        <f aca="false">Model_B_Partner!$C$146*$A42/10000000</f>
        <v>-1.26389318779672</v>
      </c>
      <c r="D42" s="74" t="n">
        <f aca="false">Model_C_Distributor!$C$146*$A42/10000000</f>
        <v>-9.46715950427387</v>
      </c>
      <c r="E42" s="74" t="n">
        <f aca="false">Model_B_Plus!$C$146*$A42/10000000</f>
        <v>13.9169844151513</v>
      </c>
    </row>
    <row r="44" customFormat="false" ht="15" hidden="false" customHeight="false" outlineLevel="0" collapsed="false">
      <c r="A44" s="4" t="s">
        <v>813</v>
      </c>
      <c r="B44" s="5"/>
      <c r="C44" s="5"/>
      <c r="D44" s="5"/>
      <c r="E44" s="5"/>
      <c r="F44" s="5"/>
      <c r="G44" s="5"/>
      <c r="H44" s="5"/>
      <c r="I44" s="5"/>
    </row>
    <row r="45" customFormat="false" ht="15" hidden="false" customHeight="false" outlineLevel="0" collapsed="false">
      <c r="A45" s="10" t="s">
        <v>814</v>
      </c>
      <c r="B45" s="35" t="str">
        <f aca="false">IF(ABS(Model_A_Direct!$C$146/1000000--2.62391)&lt;0.005,"Current","STALE - re-run")</f>
        <v>Current</v>
      </c>
      <c r="C45" s="35" t="str">
        <f aca="false">IF(ABS(Model_B_Partner!$C$146/1000000--0.517989)&lt;0.005,"Current","STALE - re-run")</f>
        <v>Current</v>
      </c>
      <c r="D45" s="35" t="str">
        <f aca="false">IF(ABS(Model_C_Distributor!$C$146/1000000--3.879983)&lt;0.005,"Current","STALE - re-run")</f>
        <v>Current</v>
      </c>
      <c r="E45" s="35" t="str">
        <f aca="false">IF(ABS(Model_B_Plus!$C$146/1000000-5.703682)&lt;0.005,"Current","STALE - re-run")</f>
        <v>Current</v>
      </c>
    </row>
    <row r="46" customFormat="false" ht="15" hidden="false" customHeight="false" outlineLevel="0" collapsed="false">
      <c r="A46" s="7" t="s">
        <v>815</v>
      </c>
    </row>
    <row r="47" customFormat="false" ht="23.85" hidden="false" customHeight="false" outlineLevel="0" collapsed="false">
      <c r="A47" s="16" t="s">
        <v>119</v>
      </c>
      <c r="B47" s="17" t="s">
        <v>816</v>
      </c>
      <c r="C47" s="17" t="s">
        <v>817</v>
      </c>
      <c r="D47" s="17" t="s">
        <v>818</v>
      </c>
      <c r="E47" s="17" t="s">
        <v>819</v>
      </c>
      <c r="F47" s="17" t="s">
        <v>820</v>
      </c>
      <c r="G47" s="17"/>
      <c r="H47" s="17"/>
      <c r="I47" s="17" t="s">
        <v>363</v>
      </c>
    </row>
    <row r="48" customFormat="false" ht="15" hidden="false" customHeight="false" outlineLevel="0" collapsed="false">
      <c r="A48" s="10" t="s">
        <v>821</v>
      </c>
      <c r="B48" s="22" t="s">
        <v>822</v>
      </c>
      <c r="C48" s="22" t="s">
        <v>823</v>
      </c>
      <c r="D48" s="33" t="n">
        <v>-7.36291883321619</v>
      </c>
      <c r="E48" s="33" t="n">
        <v>2.07741092485634</v>
      </c>
      <c r="F48" s="33" t="n">
        <f aca="false">ABS(E48-D48)</f>
        <v>9.44032975807253</v>
      </c>
    </row>
    <row r="49" customFormat="false" ht="15" hidden="false" customHeight="false" outlineLevel="0" collapsed="false">
      <c r="A49" s="10" t="s">
        <v>824</v>
      </c>
      <c r="B49" s="22" t="s">
        <v>825</v>
      </c>
      <c r="C49" s="22" t="s">
        <v>826</v>
      </c>
      <c r="D49" s="33" t="n">
        <v>-5.40128557956039</v>
      </c>
      <c r="E49" s="33" t="n">
        <v>0.923769705753073</v>
      </c>
      <c r="F49" s="33" t="n">
        <f aca="false">ABS(E49-D49)</f>
        <v>6.32505528531346</v>
      </c>
    </row>
    <row r="50" customFormat="false" ht="15" hidden="false" customHeight="false" outlineLevel="0" collapsed="false">
      <c r="A50" s="10" t="s">
        <v>827</v>
      </c>
      <c r="B50" s="22" t="s">
        <v>828</v>
      </c>
      <c r="C50" s="22" t="s">
        <v>829</v>
      </c>
      <c r="D50" s="33" t="n">
        <v>-5.46065371445601</v>
      </c>
      <c r="E50" s="33" t="n">
        <v>0.194835371256687</v>
      </c>
      <c r="F50" s="33" t="n">
        <f aca="false">ABS(E50-D50)</f>
        <v>5.6554890857127</v>
      </c>
    </row>
    <row r="51" customFormat="false" ht="15" hidden="false" customHeight="false" outlineLevel="0" collapsed="false">
      <c r="A51" s="10" t="s">
        <v>830</v>
      </c>
      <c r="B51" s="22" t="s">
        <v>829</v>
      </c>
      <c r="C51" s="22" t="s">
        <v>831</v>
      </c>
      <c r="D51" s="33" t="n">
        <v>-5.5868428880838</v>
      </c>
      <c r="E51" s="33" t="n">
        <v>-0.658153533234799</v>
      </c>
      <c r="F51" s="33" t="n">
        <f aca="false">ABS(E51-D51)</f>
        <v>4.928689354849</v>
      </c>
    </row>
    <row r="52" customFormat="false" ht="15" hidden="false" customHeight="false" outlineLevel="0" collapsed="false">
      <c r="A52" s="10" t="s">
        <v>832</v>
      </c>
      <c r="B52" s="22" t="s">
        <v>833</v>
      </c>
      <c r="C52" s="22" t="s">
        <v>834</v>
      </c>
      <c r="D52" s="33" t="n">
        <v>-4.50508057343386</v>
      </c>
      <c r="E52" s="33" t="n">
        <v>0.274713898223056</v>
      </c>
      <c r="F52" s="33" t="n">
        <f aca="false">ABS(E52-D52)</f>
        <v>4.77979447165692</v>
      </c>
    </row>
    <row r="53" customFormat="false" ht="15" hidden="false" customHeight="false" outlineLevel="0" collapsed="false">
      <c r="A53" s="10" t="s">
        <v>835</v>
      </c>
      <c r="B53" s="22" t="s">
        <v>836</v>
      </c>
      <c r="C53" s="22" t="s">
        <v>837</v>
      </c>
      <c r="D53" s="33" t="n">
        <v>-4.98106022898704</v>
      </c>
      <c r="E53" s="33" t="n">
        <v>-0.273470568537829</v>
      </c>
      <c r="F53" s="33" t="n">
        <f aca="false">ABS(E53-D53)</f>
        <v>4.70758966044921</v>
      </c>
    </row>
    <row r="54" customFormat="false" ht="15" hidden="false" customHeight="false" outlineLevel="0" collapsed="false">
      <c r="A54" s="10" t="s">
        <v>838</v>
      </c>
      <c r="B54" s="22" t="s">
        <v>839</v>
      </c>
      <c r="C54" s="22" t="s">
        <v>840</v>
      </c>
      <c r="D54" s="33" t="n">
        <v>-4.84445569280519</v>
      </c>
      <c r="E54" s="33" t="n">
        <v>-0.403363606021751</v>
      </c>
      <c r="F54" s="33" t="n">
        <f aca="false">ABS(E54-D54)</f>
        <v>4.44109208678344</v>
      </c>
    </row>
    <row r="55" customFormat="false" ht="15" hidden="false" customHeight="false" outlineLevel="0" collapsed="false">
      <c r="A55" s="10" t="s">
        <v>841</v>
      </c>
      <c r="B55" s="22" t="s">
        <v>842</v>
      </c>
      <c r="C55" s="22" t="s">
        <v>843</v>
      </c>
      <c r="D55" s="33" t="n">
        <v>-3.64678353984975</v>
      </c>
      <c r="E55" s="33" t="n">
        <v>-1.60103575897719</v>
      </c>
      <c r="F55" s="33" t="n">
        <f aca="false">ABS(E55-D55)</f>
        <v>2.04574778087256</v>
      </c>
    </row>
    <row r="56" customFormat="false" ht="15" hidden="false" customHeight="false" outlineLevel="0" collapsed="false">
      <c r="A56" s="10" t="s">
        <v>844</v>
      </c>
      <c r="B56" s="22" t="s">
        <v>845</v>
      </c>
      <c r="C56" s="22" t="s">
        <v>846</v>
      </c>
      <c r="D56" s="33" t="n">
        <v>-4.60023383368768</v>
      </c>
      <c r="E56" s="33" t="n">
        <v>-2.62390964941347</v>
      </c>
      <c r="F56" s="33" t="n">
        <f aca="false">ABS(E56-D56)</f>
        <v>1.97632418427421</v>
      </c>
    </row>
    <row r="57" customFormat="false" ht="15" hidden="false" customHeight="false" outlineLevel="0" collapsed="false">
      <c r="A57" s="10" t="s">
        <v>847</v>
      </c>
      <c r="B57" s="22" t="s">
        <v>848</v>
      </c>
      <c r="C57" s="22" t="s">
        <v>849</v>
      </c>
      <c r="D57" s="33" t="n">
        <v>-3.06783152944634</v>
      </c>
      <c r="E57" s="33" t="n">
        <v>-2.28539603489191</v>
      </c>
      <c r="F57" s="33" t="n">
        <f aca="false">ABS(E57-D57)</f>
        <v>0.78243549455443</v>
      </c>
    </row>
    <row r="58" customFormat="false" ht="15" hidden="false" customHeight="false" outlineLevel="0" collapsed="false">
      <c r="A58" s="10" t="s">
        <v>850</v>
      </c>
      <c r="B58" s="22" t="s">
        <v>851</v>
      </c>
      <c r="C58" s="22" t="s">
        <v>852</v>
      </c>
      <c r="D58" s="33" t="n">
        <v>-2.62390964941347</v>
      </c>
      <c r="E58" s="33" t="n">
        <v>-2.62390964941347</v>
      </c>
      <c r="F58" s="33" t="n">
        <f aca="false">ABS(E58-D58)</f>
        <v>0</v>
      </c>
    </row>
    <row r="59" customFormat="false" ht="15" hidden="false" customHeight="false" outlineLevel="0" collapsed="false">
      <c r="A59" s="10" t="s">
        <v>853</v>
      </c>
      <c r="B59" s="22" t="s">
        <v>854</v>
      </c>
      <c r="C59" s="22" t="s">
        <v>855</v>
      </c>
      <c r="D59" s="33" t="n">
        <v>-2.62390964941347</v>
      </c>
      <c r="E59" s="33" t="n">
        <v>-2.62390964941347</v>
      </c>
      <c r="F59" s="33" t="n">
        <f aca="false">ABS(E59-D59)</f>
        <v>0</v>
      </c>
    </row>
    <row r="61" customFormat="false" ht="15" hidden="false" customHeight="false" outlineLevel="0" collapsed="false">
      <c r="A61" s="7" t="s">
        <v>856</v>
      </c>
    </row>
    <row r="62" customFormat="false" ht="23.85" hidden="false" customHeight="false" outlineLevel="0" collapsed="false">
      <c r="A62" s="16" t="s">
        <v>119</v>
      </c>
      <c r="B62" s="17" t="s">
        <v>816</v>
      </c>
      <c r="C62" s="17" t="s">
        <v>817</v>
      </c>
      <c r="D62" s="17" t="s">
        <v>818</v>
      </c>
      <c r="E62" s="17" t="s">
        <v>819</v>
      </c>
      <c r="F62" s="17" t="s">
        <v>820</v>
      </c>
      <c r="G62" s="17"/>
      <c r="H62" s="17"/>
      <c r="I62" s="17" t="s">
        <v>363</v>
      </c>
    </row>
    <row r="63" customFormat="false" ht="15" hidden="false" customHeight="false" outlineLevel="0" collapsed="false">
      <c r="A63" s="10" t="s">
        <v>821</v>
      </c>
      <c r="B63" s="22" t="s">
        <v>822</v>
      </c>
      <c r="C63" s="22" t="s">
        <v>823</v>
      </c>
      <c r="D63" s="33" t="n">
        <v>-4.37091907944235</v>
      </c>
      <c r="E63" s="33" t="n">
        <v>3.31031048192746</v>
      </c>
      <c r="F63" s="33" t="n">
        <f aca="false">ABS(E63-D63)</f>
        <v>7.68122956136981</v>
      </c>
    </row>
    <row r="64" customFormat="false" ht="15" hidden="false" customHeight="false" outlineLevel="0" collapsed="false">
      <c r="A64" s="10" t="s">
        <v>824</v>
      </c>
      <c r="B64" s="22" t="s">
        <v>825</v>
      </c>
      <c r="C64" s="22" t="s">
        <v>826</v>
      </c>
      <c r="D64" s="33" t="n">
        <v>-3.05332324935842</v>
      </c>
      <c r="E64" s="33" t="n">
        <v>2.64291447717247</v>
      </c>
      <c r="F64" s="33" t="n">
        <f aca="false">ABS(E64-D64)</f>
        <v>5.69623772653089</v>
      </c>
    </row>
    <row r="65" customFormat="false" ht="15" hidden="false" customHeight="false" outlineLevel="0" collapsed="false">
      <c r="A65" s="10" t="s">
        <v>827</v>
      </c>
      <c r="B65" s="22" t="s">
        <v>828</v>
      </c>
      <c r="C65" s="22" t="s">
        <v>829</v>
      </c>
      <c r="D65" s="33" t="n">
        <v>-2.87397572180413</v>
      </c>
      <c r="E65" s="33" t="n">
        <v>1.8282664426352</v>
      </c>
      <c r="F65" s="33" t="n">
        <f aca="false">ABS(E65-D65)</f>
        <v>4.70224216443933</v>
      </c>
    </row>
    <row r="66" customFormat="false" ht="15" hidden="false" customHeight="false" outlineLevel="0" collapsed="false">
      <c r="A66" s="10" t="s">
        <v>832</v>
      </c>
      <c r="B66" s="22" t="s">
        <v>833</v>
      </c>
      <c r="C66" s="22" t="s">
        <v>834</v>
      </c>
      <c r="D66" s="33" t="n">
        <v>-2.17793560034616</v>
      </c>
      <c r="E66" s="33" t="n">
        <v>2.02239544620703</v>
      </c>
      <c r="F66" s="33" t="n">
        <f aca="false">ABS(E66-D66)</f>
        <v>4.20033104655319</v>
      </c>
    </row>
    <row r="67" customFormat="false" ht="15" hidden="false" customHeight="false" outlineLevel="0" collapsed="false">
      <c r="A67" s="10" t="s">
        <v>838</v>
      </c>
      <c r="B67" s="22" t="s">
        <v>839</v>
      </c>
      <c r="C67" s="22" t="s">
        <v>840</v>
      </c>
      <c r="D67" s="33" t="n">
        <v>-2.43035823689632</v>
      </c>
      <c r="E67" s="33" t="n">
        <v>1.39438021411212</v>
      </c>
      <c r="F67" s="33" t="n">
        <f aca="false">ABS(E67-D67)</f>
        <v>3.82473845100844</v>
      </c>
    </row>
    <row r="68" customFormat="false" ht="15" hidden="false" customHeight="false" outlineLevel="0" collapsed="false">
      <c r="A68" s="10" t="s">
        <v>835</v>
      </c>
      <c r="B68" s="22" t="s">
        <v>836</v>
      </c>
      <c r="C68" s="22" t="s">
        <v>837</v>
      </c>
      <c r="D68" s="33" t="n">
        <v>-2.37770117308095</v>
      </c>
      <c r="E68" s="33" t="n">
        <v>1.34172315029675</v>
      </c>
      <c r="F68" s="33" t="n">
        <f aca="false">ABS(E68-D68)</f>
        <v>3.7194243233777</v>
      </c>
    </row>
    <row r="69" customFormat="false" ht="15" hidden="false" customHeight="false" outlineLevel="0" collapsed="false">
      <c r="A69" s="10" t="s">
        <v>830</v>
      </c>
      <c r="B69" s="22" t="s">
        <v>829</v>
      </c>
      <c r="C69" s="22" t="s">
        <v>831</v>
      </c>
      <c r="D69" s="33" t="n">
        <v>-2.71461929516777</v>
      </c>
      <c r="E69" s="33" t="n">
        <v>0.941264541518215</v>
      </c>
      <c r="F69" s="33" t="n">
        <f aca="false">ABS(E69-D69)</f>
        <v>3.65588383668599</v>
      </c>
    </row>
    <row r="70" customFormat="false" ht="15" hidden="false" customHeight="false" outlineLevel="0" collapsed="false">
      <c r="A70" s="10" t="s">
        <v>850</v>
      </c>
      <c r="B70" s="22" t="s">
        <v>851</v>
      </c>
      <c r="C70" s="22" t="s">
        <v>852</v>
      </c>
      <c r="D70" s="33" t="n">
        <v>-2.15743940236653</v>
      </c>
      <c r="E70" s="33" t="n">
        <v>1.11892964467895</v>
      </c>
      <c r="F70" s="33" t="n">
        <f aca="false">ABS(E70-D70)</f>
        <v>3.27636904704548</v>
      </c>
    </row>
    <row r="71" customFormat="false" ht="15" hidden="false" customHeight="false" outlineLevel="0" collapsed="false">
      <c r="A71" s="10" t="s">
        <v>844</v>
      </c>
      <c r="B71" s="22" t="s">
        <v>845</v>
      </c>
      <c r="C71" s="22" t="s">
        <v>846</v>
      </c>
      <c r="D71" s="33" t="n">
        <v>-2.86476760391907</v>
      </c>
      <c r="E71" s="33" t="n">
        <v>-0.517989011392097</v>
      </c>
      <c r="F71" s="33" t="n">
        <f aca="false">ABS(E71-D71)</f>
        <v>2.34677859252697</v>
      </c>
    </row>
    <row r="72" customFormat="false" ht="15" hidden="false" customHeight="false" outlineLevel="0" collapsed="false">
      <c r="A72" s="10" t="s">
        <v>841</v>
      </c>
      <c r="B72" s="22" t="s">
        <v>842</v>
      </c>
      <c r="C72" s="22" t="s">
        <v>843</v>
      </c>
      <c r="D72" s="33" t="n">
        <v>-1.37500400921202</v>
      </c>
      <c r="E72" s="33" t="n">
        <v>0.33902598642782</v>
      </c>
      <c r="F72" s="33" t="n">
        <f aca="false">ABS(E72-D72)</f>
        <v>1.71402999563984</v>
      </c>
    </row>
    <row r="73" customFormat="false" ht="15" hidden="false" customHeight="false" outlineLevel="0" collapsed="false">
      <c r="A73" s="10" t="s">
        <v>847</v>
      </c>
      <c r="B73" s="22" t="s">
        <v>848</v>
      </c>
      <c r="C73" s="22" t="s">
        <v>849</v>
      </c>
      <c r="D73" s="33" t="n">
        <v>-0.866388888544595</v>
      </c>
      <c r="E73" s="33" t="n">
        <v>-0.252528558661309</v>
      </c>
      <c r="F73" s="33" t="n">
        <f aca="false">ABS(E73-D73)</f>
        <v>0.613860329883286</v>
      </c>
    </row>
    <row r="74" customFormat="false" ht="15" hidden="false" customHeight="false" outlineLevel="0" collapsed="false">
      <c r="A74" s="10" t="s">
        <v>853</v>
      </c>
      <c r="B74" s="22" t="s">
        <v>854</v>
      </c>
      <c r="C74" s="22" t="s">
        <v>855</v>
      </c>
      <c r="D74" s="33" t="n">
        <v>-0.517989011392097</v>
      </c>
      <c r="E74" s="33" t="n">
        <v>-0.517989011392097</v>
      </c>
      <c r="F74" s="33" t="n">
        <f aca="false">ABS(E74-D74)</f>
        <v>0</v>
      </c>
    </row>
    <row r="76" customFormat="false" ht="15" hidden="false" customHeight="false" outlineLevel="0" collapsed="false">
      <c r="A76" s="7" t="s">
        <v>857</v>
      </c>
    </row>
    <row r="77" customFormat="false" ht="23.85" hidden="false" customHeight="false" outlineLevel="0" collapsed="false">
      <c r="A77" s="16" t="s">
        <v>119</v>
      </c>
      <c r="B77" s="17" t="s">
        <v>816</v>
      </c>
      <c r="C77" s="17" t="s">
        <v>817</v>
      </c>
      <c r="D77" s="17" t="s">
        <v>818</v>
      </c>
      <c r="E77" s="17" t="s">
        <v>819</v>
      </c>
      <c r="F77" s="17" t="s">
        <v>820</v>
      </c>
      <c r="G77" s="17"/>
      <c r="H77" s="17"/>
      <c r="I77" s="17" t="s">
        <v>363</v>
      </c>
    </row>
    <row r="78" customFormat="false" ht="15" hidden="false" customHeight="false" outlineLevel="0" collapsed="false">
      <c r="A78" s="10" t="s">
        <v>821</v>
      </c>
      <c r="B78" s="22" t="s">
        <v>822</v>
      </c>
      <c r="C78" s="22" t="s">
        <v>823</v>
      </c>
      <c r="D78" s="33" t="n">
        <v>-5.66219155743363</v>
      </c>
      <c r="E78" s="33" t="n">
        <v>-2.10891660995821</v>
      </c>
      <c r="F78" s="33" t="n">
        <f aca="false">ABS(E78-D78)</f>
        <v>3.55327494747542</v>
      </c>
    </row>
    <row r="79" customFormat="false" ht="15" hidden="false" customHeight="false" outlineLevel="0" collapsed="false">
      <c r="A79" s="10" t="s">
        <v>830</v>
      </c>
      <c r="B79" s="22" t="s">
        <v>829</v>
      </c>
      <c r="C79" s="22" t="s">
        <v>831</v>
      </c>
      <c r="D79" s="33" t="n">
        <v>-5.39178180782831</v>
      </c>
      <c r="E79" s="33" t="n">
        <v>-2.87320439606062</v>
      </c>
      <c r="F79" s="33" t="n">
        <f aca="false">ABS(E79-D79)</f>
        <v>2.51857741176769</v>
      </c>
    </row>
    <row r="80" customFormat="false" ht="15" hidden="false" customHeight="false" outlineLevel="0" collapsed="false">
      <c r="A80" s="10" t="s">
        <v>827</v>
      </c>
      <c r="B80" s="22" t="s">
        <v>828</v>
      </c>
      <c r="C80" s="22" t="s">
        <v>829</v>
      </c>
      <c r="D80" s="33" t="n">
        <v>-4.98448645586012</v>
      </c>
      <c r="E80" s="33" t="n">
        <v>-2.77952873574113</v>
      </c>
      <c r="F80" s="33" t="n">
        <f aca="false">ABS(E80-D80)</f>
        <v>2.20495772011899</v>
      </c>
    </row>
    <row r="81" customFormat="false" ht="15" hidden="false" customHeight="false" outlineLevel="0" collapsed="false">
      <c r="A81" s="10" t="s">
        <v>835</v>
      </c>
      <c r="B81" s="22" t="s">
        <v>836</v>
      </c>
      <c r="C81" s="22" t="s">
        <v>837</v>
      </c>
      <c r="D81" s="33" t="n">
        <v>-4.96660418595662</v>
      </c>
      <c r="E81" s="33" t="n">
        <v>-2.79364872376112</v>
      </c>
      <c r="F81" s="33" t="n">
        <f aca="false">ABS(E81-D81)</f>
        <v>2.1729554621955</v>
      </c>
    </row>
    <row r="82" customFormat="false" ht="15" hidden="false" customHeight="false" outlineLevel="0" collapsed="false">
      <c r="A82" s="10" t="s">
        <v>824</v>
      </c>
      <c r="B82" s="22" t="s">
        <v>825</v>
      </c>
      <c r="C82" s="22" t="s">
        <v>826</v>
      </c>
      <c r="D82" s="33" t="n">
        <v>-4.74807981200137</v>
      </c>
      <c r="E82" s="33" t="n">
        <v>-2.71911060590837</v>
      </c>
      <c r="F82" s="33" t="n">
        <f aca="false">ABS(E82-D82)</f>
        <v>2.028969206093</v>
      </c>
    </row>
    <row r="83" customFormat="false" ht="15" hidden="false" customHeight="false" outlineLevel="0" collapsed="false">
      <c r="A83" s="10" t="s">
        <v>850</v>
      </c>
      <c r="B83" s="22" t="s">
        <v>851</v>
      </c>
      <c r="C83" s="22" t="s">
        <v>852</v>
      </c>
      <c r="D83" s="33" t="n">
        <v>-4.80074728362193</v>
      </c>
      <c r="E83" s="33" t="n">
        <v>-2.96131624382165</v>
      </c>
      <c r="F83" s="33" t="n">
        <f aca="false">ABS(E83-D83)</f>
        <v>1.83943103980028</v>
      </c>
    </row>
    <row r="84" customFormat="false" ht="15" hidden="false" customHeight="false" outlineLevel="0" collapsed="false">
      <c r="A84" s="10" t="s">
        <v>832</v>
      </c>
      <c r="B84" s="22" t="s">
        <v>833</v>
      </c>
      <c r="C84" s="22" t="s">
        <v>834</v>
      </c>
      <c r="D84" s="33" t="n">
        <v>-4.52331958537976</v>
      </c>
      <c r="E84" s="33" t="n">
        <v>-2.88563256973548</v>
      </c>
      <c r="F84" s="33" t="n">
        <f aca="false">ABS(E84-D84)</f>
        <v>1.63768701564428</v>
      </c>
    </row>
    <row r="85" customFormat="false" ht="15" hidden="false" customHeight="false" outlineLevel="0" collapsed="false">
      <c r="A85" s="10" t="s">
        <v>838</v>
      </c>
      <c r="B85" s="22" t="s">
        <v>839</v>
      </c>
      <c r="C85" s="22" t="s">
        <v>840</v>
      </c>
      <c r="D85" s="33" t="n">
        <v>-4.64771908613737</v>
      </c>
      <c r="E85" s="33" t="n">
        <v>-3.11224772064449</v>
      </c>
      <c r="F85" s="33" t="n">
        <f aca="false">ABS(E85-D85)</f>
        <v>1.53547136549288</v>
      </c>
    </row>
    <row r="86" customFormat="false" ht="15" hidden="false" customHeight="false" outlineLevel="0" collapsed="false">
      <c r="A86" s="10" t="s">
        <v>841</v>
      </c>
      <c r="B86" s="22" t="s">
        <v>842</v>
      </c>
      <c r="C86" s="22" t="s">
        <v>843</v>
      </c>
      <c r="D86" s="33" t="n">
        <v>-4.55145290177702</v>
      </c>
      <c r="E86" s="33" t="n">
        <v>-3.20851390500484</v>
      </c>
      <c r="F86" s="33" t="n">
        <f aca="false">ABS(E86-D86)</f>
        <v>1.34293899677218</v>
      </c>
    </row>
    <row r="87" customFormat="false" ht="15" hidden="false" customHeight="false" outlineLevel="0" collapsed="false">
      <c r="A87" s="10" t="s">
        <v>844</v>
      </c>
      <c r="B87" s="22" t="s">
        <v>845</v>
      </c>
      <c r="C87" s="22" t="s">
        <v>846</v>
      </c>
      <c r="D87" s="33" t="n">
        <v>-4.4507659983258</v>
      </c>
      <c r="E87" s="33" t="n">
        <v>-3.87998340339093</v>
      </c>
      <c r="F87" s="33" t="n">
        <f aca="false">ABS(E87-D87)</f>
        <v>0.57078259493487</v>
      </c>
    </row>
    <row r="88" customFormat="false" ht="15" hidden="false" customHeight="false" outlineLevel="0" collapsed="false">
      <c r="A88" s="10" t="s">
        <v>847</v>
      </c>
      <c r="B88" s="22" t="s">
        <v>848</v>
      </c>
      <c r="C88" s="22" t="s">
        <v>849</v>
      </c>
      <c r="D88" s="33" t="n">
        <v>-4.02704232083909</v>
      </c>
      <c r="E88" s="33" t="n">
        <v>-3.76803123779564</v>
      </c>
      <c r="F88" s="33" t="n">
        <f aca="false">ABS(E88-D88)</f>
        <v>0.25901108304345</v>
      </c>
    </row>
    <row r="89" customFormat="false" ht="15" hidden="false" customHeight="false" outlineLevel="0" collapsed="false">
      <c r="A89" s="10" t="s">
        <v>853</v>
      </c>
      <c r="B89" s="22" t="s">
        <v>854</v>
      </c>
      <c r="C89" s="22" t="s">
        <v>855</v>
      </c>
      <c r="D89" s="33" t="n">
        <v>-3.87998340339093</v>
      </c>
      <c r="E89" s="33" t="n">
        <v>-3.87998340339093</v>
      </c>
      <c r="F89" s="33" t="n">
        <f aca="false">ABS(E89-D89)</f>
        <v>0</v>
      </c>
    </row>
    <row r="91" customFormat="false" ht="15" hidden="false" customHeight="false" outlineLevel="0" collapsed="false">
      <c r="A91" s="7" t="s">
        <v>858</v>
      </c>
    </row>
    <row r="92" customFormat="false" ht="23.85" hidden="false" customHeight="false" outlineLevel="0" collapsed="false">
      <c r="A92" s="16" t="s">
        <v>119</v>
      </c>
      <c r="B92" s="17" t="s">
        <v>816</v>
      </c>
      <c r="C92" s="17" t="s">
        <v>817</v>
      </c>
      <c r="D92" s="17" t="s">
        <v>818</v>
      </c>
      <c r="E92" s="17" t="s">
        <v>819</v>
      </c>
      <c r="F92" s="17" t="s">
        <v>820</v>
      </c>
      <c r="G92" s="17"/>
      <c r="H92" s="17"/>
      <c r="I92" s="17" t="s">
        <v>363</v>
      </c>
    </row>
    <row r="93" customFormat="false" ht="15" hidden="false" customHeight="false" outlineLevel="0" collapsed="false">
      <c r="A93" s="10" t="s">
        <v>821</v>
      </c>
      <c r="B93" s="22" t="s">
        <v>822</v>
      </c>
      <c r="C93" s="22" t="s">
        <v>823</v>
      </c>
      <c r="D93" s="33" t="n">
        <v>0.885134878436511</v>
      </c>
      <c r="E93" s="33" t="n">
        <v>10.3740281011905</v>
      </c>
      <c r="F93" s="33" t="n">
        <f aca="false">ABS(E93-D93)</f>
        <v>9.48889322275399</v>
      </c>
    </row>
    <row r="94" customFormat="false" ht="15" hidden="false" customHeight="false" outlineLevel="0" collapsed="false">
      <c r="A94" s="10" t="s">
        <v>824</v>
      </c>
      <c r="B94" s="22" t="s">
        <v>825</v>
      </c>
      <c r="C94" s="22" t="s">
        <v>826</v>
      </c>
      <c r="D94" s="33" t="n">
        <v>2.12128696712378</v>
      </c>
      <c r="E94" s="33" t="n">
        <v>9.97024994219446</v>
      </c>
      <c r="F94" s="33" t="n">
        <f aca="false">ABS(E94-D94)</f>
        <v>7.84896297507068</v>
      </c>
    </row>
    <row r="95" customFormat="false" ht="15" hidden="false" customHeight="false" outlineLevel="0" collapsed="false">
      <c r="A95" s="10" t="s">
        <v>827</v>
      </c>
      <c r="B95" s="22" t="s">
        <v>828</v>
      </c>
      <c r="C95" s="22" t="s">
        <v>829</v>
      </c>
      <c r="D95" s="33" t="n">
        <v>2.7574379437483</v>
      </c>
      <c r="E95" s="33" t="n">
        <v>8.62495477869483</v>
      </c>
      <c r="F95" s="33" t="n">
        <f aca="false">ABS(E95-D95)</f>
        <v>5.86751683494653</v>
      </c>
    </row>
    <row r="96" customFormat="false" ht="15" hidden="false" customHeight="false" outlineLevel="0" collapsed="false">
      <c r="A96" s="10" t="s">
        <v>832</v>
      </c>
      <c r="B96" s="22" t="s">
        <v>833</v>
      </c>
      <c r="C96" s="22" t="s">
        <v>834</v>
      </c>
      <c r="D96" s="33" t="n">
        <v>3.51983085493853</v>
      </c>
      <c r="E96" s="33" t="n">
        <v>9.00646478505206</v>
      </c>
      <c r="F96" s="33" t="n">
        <f aca="false">ABS(E96-D96)</f>
        <v>5.48663393011353</v>
      </c>
    </row>
    <row r="97" customFormat="false" ht="15" hidden="false" customHeight="false" outlineLevel="0" collapsed="false">
      <c r="A97" s="10" t="s">
        <v>838</v>
      </c>
      <c r="B97" s="22" t="s">
        <v>839</v>
      </c>
      <c r="C97" s="22" t="s">
        <v>840</v>
      </c>
      <c r="D97" s="33" t="n">
        <v>3.29409691322177</v>
      </c>
      <c r="E97" s="33" t="n">
        <v>8.1132673614924</v>
      </c>
      <c r="F97" s="33" t="n">
        <f aca="false">ABS(E97-D97)</f>
        <v>4.81917044827063</v>
      </c>
    </row>
    <row r="98" customFormat="false" ht="15" hidden="false" customHeight="false" outlineLevel="0" collapsed="false">
      <c r="A98" s="10" t="s">
        <v>835</v>
      </c>
      <c r="B98" s="22" t="s">
        <v>836</v>
      </c>
      <c r="C98" s="22" t="s">
        <v>837</v>
      </c>
      <c r="D98" s="33" t="n">
        <v>3.36826213139633</v>
      </c>
      <c r="E98" s="33" t="n">
        <v>8.03910214331784</v>
      </c>
      <c r="F98" s="33" t="n">
        <f aca="false">ABS(E98-D98)</f>
        <v>4.67084001192151</v>
      </c>
    </row>
    <row r="99" customFormat="false" ht="15" hidden="false" customHeight="false" outlineLevel="0" collapsed="false">
      <c r="A99" s="10" t="s">
        <v>844</v>
      </c>
      <c r="B99" s="22" t="s">
        <v>845</v>
      </c>
      <c r="C99" s="22" t="s">
        <v>846</v>
      </c>
      <c r="D99" s="33" t="n">
        <v>1.24076190466711</v>
      </c>
      <c r="E99" s="33" t="n">
        <v>5.70368213735708</v>
      </c>
      <c r="F99" s="33" t="n">
        <f aca="false">ABS(E99-D99)</f>
        <v>4.46292023268997</v>
      </c>
    </row>
    <row r="100" customFormat="false" ht="15" hidden="false" customHeight="false" outlineLevel="0" collapsed="false">
      <c r="A100" s="10" t="s">
        <v>850</v>
      </c>
      <c r="B100" s="22" t="s">
        <v>851</v>
      </c>
      <c r="C100" s="22" t="s">
        <v>852</v>
      </c>
      <c r="D100" s="33" t="n">
        <v>3.65120230917319</v>
      </c>
      <c r="E100" s="33" t="n">
        <v>7.74131762610464</v>
      </c>
      <c r="F100" s="33" t="n">
        <f aca="false">ABS(E100-D100)</f>
        <v>4.09011531693145</v>
      </c>
    </row>
    <row r="101" customFormat="false" ht="15" hidden="false" customHeight="false" outlineLevel="0" collapsed="false">
      <c r="A101" s="10" t="s">
        <v>830</v>
      </c>
      <c r="B101" s="22" t="s">
        <v>829</v>
      </c>
      <c r="C101" s="22" t="s">
        <v>831</v>
      </c>
      <c r="D101" s="33" t="n">
        <v>3.85942454409948</v>
      </c>
      <c r="E101" s="33" t="n">
        <v>6.91750221616306</v>
      </c>
      <c r="F101" s="33" t="n">
        <f aca="false">ABS(E101-D101)</f>
        <v>3.05807767206358</v>
      </c>
    </row>
    <row r="102" customFormat="false" ht="15" hidden="false" customHeight="false" outlineLevel="0" collapsed="false">
      <c r="A102" s="10" t="s">
        <v>841</v>
      </c>
      <c r="B102" s="22" t="s">
        <v>842</v>
      </c>
      <c r="C102" s="22" t="s">
        <v>843</v>
      </c>
      <c r="D102" s="33" t="n">
        <v>5.17020123305452</v>
      </c>
      <c r="E102" s="33" t="n">
        <v>6.23716304165965</v>
      </c>
      <c r="F102" s="33" t="n">
        <f aca="false">ABS(E102-D102)</f>
        <v>1.06696180860513</v>
      </c>
    </row>
    <row r="103" customFormat="false" ht="15" hidden="false" customHeight="false" outlineLevel="0" collapsed="false">
      <c r="A103" s="10" t="s">
        <v>847</v>
      </c>
      <c r="B103" s="22" t="s">
        <v>848</v>
      </c>
      <c r="C103" s="22" t="s">
        <v>849</v>
      </c>
      <c r="D103" s="33" t="n">
        <v>5.26895509460701</v>
      </c>
      <c r="E103" s="33" t="n">
        <v>6.03492212733448</v>
      </c>
      <c r="F103" s="33" t="n">
        <f aca="false">ABS(E103-D103)</f>
        <v>0.76596703272747</v>
      </c>
    </row>
    <row r="104" customFormat="false" ht="15" hidden="false" customHeight="false" outlineLevel="0" collapsed="false">
      <c r="A104" s="10" t="s">
        <v>853</v>
      </c>
      <c r="B104" s="22" t="s">
        <v>854</v>
      </c>
      <c r="C104" s="22" t="s">
        <v>855</v>
      </c>
      <c r="D104" s="33" t="n">
        <v>5.70368213735708</v>
      </c>
      <c r="E104" s="33" t="n">
        <v>5.70368213735708</v>
      </c>
      <c r="F104" s="33" t="n">
        <f aca="false">ABS(E104-D104)</f>
        <v>0</v>
      </c>
    </row>
    <row r="106" customFormat="false" ht="15" hidden="false" customHeight="false" outlineLevel="0" collapsed="false">
      <c r="A106" s="4" t="s">
        <v>859</v>
      </c>
      <c r="B106" s="5"/>
      <c r="C106" s="5"/>
      <c r="D106" s="5"/>
      <c r="E106" s="5"/>
      <c r="F106" s="5"/>
      <c r="G106" s="5"/>
      <c r="H106" s="5"/>
      <c r="I106" s="5"/>
    </row>
    <row r="107" customFormat="false" ht="15" hidden="false" customHeight="false" outlineLevel="0" collapsed="false">
      <c r="A107" s="16" t="s">
        <v>63</v>
      </c>
      <c r="B107" s="17" t="s">
        <v>809</v>
      </c>
      <c r="C107" s="17" t="s">
        <v>810</v>
      </c>
      <c r="D107" s="17" t="s">
        <v>811</v>
      </c>
      <c r="E107" s="17" t="s">
        <v>368</v>
      </c>
      <c r="F107" s="17"/>
      <c r="G107" s="17"/>
      <c r="H107" s="17"/>
      <c r="I107" s="17" t="s">
        <v>363</v>
      </c>
    </row>
    <row r="108" customFormat="false" ht="22.35" hidden="false" customHeight="false" outlineLevel="0" collapsed="false">
      <c r="A108" s="10" t="s">
        <v>860</v>
      </c>
      <c r="B108" s="86" t="n">
        <v>1.1394</v>
      </c>
      <c r="C108" s="86" t="n">
        <v>1.0338</v>
      </c>
      <c r="D108" s="86" t="n">
        <v>1.5495</v>
      </c>
      <c r="E108" s="86" t="n">
        <v>0.7043</v>
      </c>
      <c r="I108" s="51" t="s">
        <v>861</v>
      </c>
    </row>
    <row r="109" customFormat="false" ht="15" hidden="false" customHeight="false" outlineLevel="0" collapsed="false">
      <c r="A109" s="10" t="s">
        <v>862</v>
      </c>
      <c r="B109" s="23" t="n">
        <v>7.11467248265373</v>
      </c>
      <c r="C109" s="23" t="n">
        <v>5.13174517299645</v>
      </c>
      <c r="D109" s="23" t="n">
        <v>4.46026803548413</v>
      </c>
      <c r="E109" s="23" t="n">
        <v>4.40511030947007</v>
      </c>
    </row>
    <row r="110" customFormat="false" ht="15" hidden="false" customHeight="false" outlineLevel="0" collapsed="false">
      <c r="A110" s="10" t="s">
        <v>863</v>
      </c>
      <c r="B110" s="97" t="n">
        <v>229.77584766</v>
      </c>
      <c r="C110" s="97" t="n">
        <v>300.671053632</v>
      </c>
      <c r="D110" s="97" t="n">
        <v>546.61252848</v>
      </c>
      <c r="E110" s="97" t="n">
        <v>245.8068753024</v>
      </c>
    </row>
    <row r="112" customFormat="false" ht="15" hidden="false" customHeight="false" outlineLevel="0" collapsed="false">
      <c r="A112" s="4" t="s">
        <v>864</v>
      </c>
      <c r="B112" s="5"/>
      <c r="C112" s="5"/>
      <c r="D112" s="5"/>
      <c r="E112" s="5"/>
      <c r="F112" s="5"/>
      <c r="G112" s="5"/>
      <c r="H112" s="5"/>
      <c r="I112" s="5"/>
    </row>
    <row r="113" customFormat="false" ht="23.85" hidden="false" customHeight="false" outlineLevel="0" collapsed="false">
      <c r="A113" s="16" t="s">
        <v>865</v>
      </c>
      <c r="B113" s="17" t="s">
        <v>866</v>
      </c>
      <c r="C113" s="17" t="s">
        <v>867</v>
      </c>
      <c r="D113" s="17"/>
      <c r="E113" s="17"/>
      <c r="F113" s="17"/>
      <c r="G113" s="17"/>
      <c r="H113" s="17"/>
      <c r="I113" s="17" t="s">
        <v>363</v>
      </c>
    </row>
    <row r="114" customFormat="false" ht="15" hidden="false" customHeight="false" outlineLevel="0" collapsed="false">
      <c r="A114" s="7" t="s">
        <v>868</v>
      </c>
      <c r="B114" s="33" t="n">
        <v>-0.517989011392097</v>
      </c>
    </row>
    <row r="115" customFormat="false" ht="15" hidden="false" customHeight="false" outlineLevel="0" collapsed="false">
      <c r="A115" s="10" t="s">
        <v>869</v>
      </c>
      <c r="B115" s="33" t="n">
        <v>0.33902598642782</v>
      </c>
      <c r="C115" s="33" t="n">
        <v>0.857014997819917</v>
      </c>
    </row>
    <row r="116" customFormat="false" ht="15" hidden="false" customHeight="false" outlineLevel="0" collapsed="false">
      <c r="A116" s="10" t="s">
        <v>870</v>
      </c>
      <c r="B116" s="33" t="n">
        <v>2.54465058326354</v>
      </c>
      <c r="C116" s="33" t="n">
        <v>3.06263959465564</v>
      </c>
    </row>
    <row r="117" customFormat="false" ht="15" hidden="false" customHeight="false" outlineLevel="0" collapsed="false">
      <c r="A117" s="10" t="s">
        <v>871</v>
      </c>
      <c r="B117" s="33" t="n">
        <v>0.264096139950339</v>
      </c>
      <c r="C117" s="33" t="n">
        <v>0.782085151342436</v>
      </c>
    </row>
    <row r="118" customFormat="false" ht="15" hidden="false" customHeight="false" outlineLevel="0" collapsed="false">
      <c r="A118" s="10" t="s">
        <v>872</v>
      </c>
      <c r="B118" s="33" t="n">
        <v>0.941264541518215</v>
      </c>
      <c r="C118" s="33" t="n">
        <v>1.45925355291031</v>
      </c>
    </row>
    <row r="119" customFormat="false" ht="22.35" hidden="false" customHeight="false" outlineLevel="0" collapsed="false">
      <c r="A119" s="7" t="s">
        <v>873</v>
      </c>
      <c r="B119" s="98" t="n">
        <v>5.70368213735708</v>
      </c>
      <c r="C119" s="98" t="n">
        <v>6.22167114874918</v>
      </c>
      <c r="D119" s="7" t="str">
        <f aca="false">IF(ABS(B119-Model_B_Plus!$C$146/1000000)&lt;0.01,"Matches live B+","CHECK vs live B+")</f>
        <v>Matches live B+</v>
      </c>
      <c r="I119" s="51" t="s">
        <v>874</v>
      </c>
    </row>
  </sheetData>
  <conditionalFormatting sqref="B7:F11">
    <cfRule type="cellIs" priority="2" operator="lessThan" aboveAverage="0" equalAverage="0" bottom="0" percent="0" rank="0" text="" dxfId="3">
      <formula>0</formula>
    </cfRule>
  </conditionalFormatting>
  <conditionalFormatting sqref="B15:F19">
    <cfRule type="cellIs" priority="3" operator="lessThan" aboveAverage="0" equalAverage="0" bottom="0" percent="0" rank="0" text="" dxfId="3">
      <formula>0</formula>
    </cfRule>
  </conditionalFormatting>
  <conditionalFormatting sqref="B23:F27">
    <cfRule type="cellIs" priority="4" operator="lessThan" aboveAverage="0" equalAverage="0" bottom="0" percent="0" rank="0" text="" dxfId="3">
      <formula>0</formula>
    </cfRule>
  </conditionalFormatting>
  <conditionalFormatting sqref="B31:F35">
    <cfRule type="cellIs" priority="5" operator="lessThan" aboveAverage="0" equalAverage="0" bottom="0" percent="0" rank="0" text="" dxfId="3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O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40"/>
    <col collapsed="false" customWidth="true" hidden="false" outlineLevel="0" max="4" min="4" style="0" width="36"/>
    <col collapsed="false" customWidth="true" hidden="false" outlineLevel="0" max="6" min="5" style="0" width="6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52"/>
    <col collapsed="false" customWidth="true" hidden="false" outlineLevel="0" max="10" min="10" style="0" width="15"/>
    <col collapsed="false" customWidth="true" hidden="false" outlineLevel="0" max="12" min="11" style="0" width="6"/>
    <col collapsed="false" customWidth="true" hidden="false" outlineLevel="0" max="13" min="13" style="0" width="8"/>
    <col collapsed="false" customWidth="true" hidden="false" outlineLevel="0" max="14" min="14" style="0" width="10"/>
    <col collapsed="false" customWidth="true" hidden="false" outlineLevel="0" max="15" min="15" style="0" width="32"/>
  </cols>
  <sheetData>
    <row r="1" customFormat="false" ht="17.35" hidden="false" customHeight="false" outlineLevel="0" collapsed="false">
      <c r="A1" s="13" t="s">
        <v>875</v>
      </c>
    </row>
    <row r="2" customFormat="false" ht="15" hidden="false" customHeight="false" outlineLevel="0" collapsed="false">
      <c r="A2" s="14" t="s">
        <v>876</v>
      </c>
    </row>
    <row r="4" customFormat="false" ht="33.75" hidden="false" customHeight="true" outlineLevel="0" collapsed="false">
      <c r="A4" s="16" t="s">
        <v>877</v>
      </c>
      <c r="B4" s="17" t="s">
        <v>878</v>
      </c>
      <c r="C4" s="17" t="s">
        <v>879</v>
      </c>
      <c r="D4" s="17" t="s">
        <v>880</v>
      </c>
      <c r="E4" s="17" t="s">
        <v>881</v>
      </c>
      <c r="F4" s="17" t="s">
        <v>882</v>
      </c>
      <c r="G4" s="17" t="s">
        <v>883</v>
      </c>
      <c r="H4" s="17" t="s">
        <v>884</v>
      </c>
      <c r="I4" s="17" t="s">
        <v>885</v>
      </c>
      <c r="J4" s="17" t="s">
        <v>464</v>
      </c>
      <c r="K4" s="17" t="s">
        <v>886</v>
      </c>
      <c r="L4" s="17" t="s">
        <v>887</v>
      </c>
      <c r="M4" s="17" t="s">
        <v>888</v>
      </c>
      <c r="N4" s="17" t="s">
        <v>889</v>
      </c>
      <c r="O4" s="17" t="s">
        <v>890</v>
      </c>
    </row>
    <row r="5" customFormat="false" ht="63.75" hidden="false" customHeight="true" outlineLevel="0" collapsed="false">
      <c r="A5" s="64" t="s">
        <v>891</v>
      </c>
      <c r="B5" s="51" t="s">
        <v>892</v>
      </c>
      <c r="C5" s="51" t="s">
        <v>893</v>
      </c>
      <c r="D5" s="51" t="s">
        <v>894</v>
      </c>
      <c r="E5" s="89" t="n">
        <v>4</v>
      </c>
      <c r="F5" s="89" t="n">
        <v>4</v>
      </c>
      <c r="G5" s="99" t="n">
        <f aca="false">E5*F5</f>
        <v>16</v>
      </c>
      <c r="H5" s="35" t="str">
        <f aca="false">IF(G5&gt;=15,"Critical",IF(G5&gt;=10,"High",IF(G5&gt;=5,"Medium","Low")))</f>
        <v>Critical</v>
      </c>
      <c r="I5" s="51" t="s">
        <v>895</v>
      </c>
      <c r="J5" s="51" t="s">
        <v>294</v>
      </c>
      <c r="K5" s="89" t="n">
        <v>3</v>
      </c>
      <c r="L5" s="89" t="n">
        <v>3</v>
      </c>
      <c r="M5" s="99" t="n">
        <f aca="false">K5*L5</f>
        <v>9</v>
      </c>
      <c r="N5" s="35" t="str">
        <f aca="false">IF(M5&gt;=15,"Critical",IF(M5&gt;=10,"High",IF(M5&gt;=5,"Medium","Low")))</f>
        <v>Medium</v>
      </c>
      <c r="O5" s="51" t="s">
        <v>896</v>
      </c>
    </row>
    <row r="6" customFormat="false" ht="63.75" hidden="false" customHeight="true" outlineLevel="0" collapsed="false">
      <c r="A6" s="64" t="s">
        <v>897</v>
      </c>
      <c r="B6" s="51" t="s">
        <v>892</v>
      </c>
      <c r="C6" s="51" t="s">
        <v>898</v>
      </c>
      <c r="D6" s="51" t="s">
        <v>899</v>
      </c>
      <c r="E6" s="89" t="n">
        <v>4</v>
      </c>
      <c r="F6" s="89" t="n">
        <v>4</v>
      </c>
      <c r="G6" s="99" t="n">
        <f aca="false">E6*F6</f>
        <v>16</v>
      </c>
      <c r="H6" s="35" t="str">
        <f aca="false">IF(G6&gt;=15,"Critical",IF(G6&gt;=10,"High",IF(G6&gt;=5,"Medium","Low")))</f>
        <v>Critical</v>
      </c>
      <c r="I6" s="51" t="s">
        <v>900</v>
      </c>
      <c r="J6" s="51" t="s">
        <v>294</v>
      </c>
      <c r="K6" s="89" t="n">
        <v>3</v>
      </c>
      <c r="L6" s="89" t="n">
        <v>3</v>
      </c>
      <c r="M6" s="99" t="n">
        <f aca="false">K6*L6</f>
        <v>9</v>
      </c>
      <c r="N6" s="35" t="str">
        <f aca="false">IF(M6&gt;=15,"Critical",IF(M6&gt;=10,"High",IF(M6&gt;=5,"Medium","Low")))</f>
        <v>Medium</v>
      </c>
      <c r="O6" s="51" t="s">
        <v>901</v>
      </c>
    </row>
    <row r="7" customFormat="false" ht="63.75" hidden="false" customHeight="true" outlineLevel="0" collapsed="false">
      <c r="A7" s="64" t="s">
        <v>902</v>
      </c>
      <c r="B7" s="51" t="s">
        <v>892</v>
      </c>
      <c r="C7" s="51" t="s">
        <v>740</v>
      </c>
      <c r="D7" s="51" t="s">
        <v>903</v>
      </c>
      <c r="E7" s="89" t="n">
        <v>3</v>
      </c>
      <c r="F7" s="89" t="n">
        <v>4</v>
      </c>
      <c r="G7" s="99" t="n">
        <f aca="false">E7*F7</f>
        <v>12</v>
      </c>
      <c r="H7" s="35" t="str">
        <f aca="false">IF(G7&gt;=15,"Critical",IF(G7&gt;=10,"High",IF(G7&gt;=5,"Medium","Low")))</f>
        <v>High</v>
      </c>
      <c r="I7" s="51" t="s">
        <v>904</v>
      </c>
      <c r="J7" s="51" t="s">
        <v>905</v>
      </c>
      <c r="K7" s="89" t="n">
        <v>2</v>
      </c>
      <c r="L7" s="89" t="n">
        <v>3</v>
      </c>
      <c r="M7" s="99" t="n">
        <f aca="false">K7*L7</f>
        <v>6</v>
      </c>
      <c r="N7" s="35" t="str">
        <f aca="false">IF(M7&gt;=15,"Critical",IF(M7&gt;=10,"High",IF(M7&gt;=5,"Medium","Low")))</f>
        <v>Medium</v>
      </c>
      <c r="O7" s="51" t="s">
        <v>906</v>
      </c>
    </row>
    <row r="8" customFormat="false" ht="63.75" hidden="false" customHeight="true" outlineLevel="0" collapsed="false">
      <c r="A8" s="64" t="s">
        <v>907</v>
      </c>
      <c r="B8" s="51" t="s">
        <v>892</v>
      </c>
      <c r="C8" s="51" t="s">
        <v>908</v>
      </c>
      <c r="D8" s="51" t="s">
        <v>909</v>
      </c>
      <c r="E8" s="89" t="n">
        <v>4</v>
      </c>
      <c r="F8" s="89" t="n">
        <v>3</v>
      </c>
      <c r="G8" s="99" t="n">
        <f aca="false">E8*F8</f>
        <v>12</v>
      </c>
      <c r="H8" s="35" t="str">
        <f aca="false">IF(G8&gt;=15,"Critical",IF(G8&gt;=10,"High",IF(G8&gt;=5,"Medium","Low")))</f>
        <v>High</v>
      </c>
      <c r="I8" s="51" t="s">
        <v>910</v>
      </c>
      <c r="J8" s="51" t="s">
        <v>911</v>
      </c>
      <c r="K8" s="89" t="n">
        <v>3</v>
      </c>
      <c r="L8" s="89" t="n">
        <v>3</v>
      </c>
      <c r="M8" s="99" t="n">
        <f aca="false">K8*L8</f>
        <v>9</v>
      </c>
      <c r="N8" s="35" t="str">
        <f aca="false">IF(M8&gt;=15,"Critical",IF(M8&gt;=10,"High",IF(M8&gt;=5,"Medium","Low")))</f>
        <v>Medium</v>
      </c>
      <c r="O8" s="51" t="s">
        <v>912</v>
      </c>
    </row>
    <row r="9" customFormat="false" ht="63.75" hidden="false" customHeight="true" outlineLevel="0" collapsed="false">
      <c r="A9" s="64" t="s">
        <v>913</v>
      </c>
      <c r="B9" s="51" t="s">
        <v>892</v>
      </c>
      <c r="C9" s="51" t="s">
        <v>914</v>
      </c>
      <c r="D9" s="51" t="s">
        <v>915</v>
      </c>
      <c r="E9" s="89" t="n">
        <v>4</v>
      </c>
      <c r="F9" s="89" t="n">
        <v>3</v>
      </c>
      <c r="G9" s="99" t="n">
        <f aca="false">E9*F9</f>
        <v>12</v>
      </c>
      <c r="H9" s="35" t="str">
        <f aca="false">IF(G9&gt;=15,"Critical",IF(G9&gt;=10,"High",IF(G9&gt;=5,"Medium","Low")))</f>
        <v>High</v>
      </c>
      <c r="I9" s="51" t="s">
        <v>916</v>
      </c>
      <c r="J9" s="51" t="s">
        <v>294</v>
      </c>
      <c r="K9" s="89" t="n">
        <v>3</v>
      </c>
      <c r="L9" s="89" t="n">
        <v>2</v>
      </c>
      <c r="M9" s="99" t="n">
        <f aca="false">K9*L9</f>
        <v>6</v>
      </c>
      <c r="N9" s="35" t="str">
        <f aca="false">IF(M9&gt;=15,"Critical",IF(M9&gt;=10,"High",IF(M9&gt;=5,"Medium","Low")))</f>
        <v>Medium</v>
      </c>
      <c r="O9" s="51" t="s">
        <v>917</v>
      </c>
    </row>
    <row r="10" customFormat="false" ht="63.75" hidden="false" customHeight="true" outlineLevel="0" collapsed="false">
      <c r="A10" s="64" t="s">
        <v>918</v>
      </c>
      <c r="B10" s="51" t="s">
        <v>892</v>
      </c>
      <c r="C10" s="51" t="s">
        <v>919</v>
      </c>
      <c r="D10" s="51" t="s">
        <v>920</v>
      </c>
      <c r="E10" s="89" t="n">
        <v>4</v>
      </c>
      <c r="F10" s="89" t="n">
        <v>3</v>
      </c>
      <c r="G10" s="99" t="n">
        <f aca="false">E10*F10</f>
        <v>12</v>
      </c>
      <c r="H10" s="35" t="str">
        <f aca="false">IF(G10&gt;=15,"Critical",IF(G10&gt;=10,"High",IF(G10&gt;=5,"Medium","Low")))</f>
        <v>High</v>
      </c>
      <c r="I10" s="51" t="s">
        <v>921</v>
      </c>
      <c r="J10" s="51" t="s">
        <v>922</v>
      </c>
      <c r="K10" s="89" t="n">
        <v>3</v>
      </c>
      <c r="L10" s="89" t="n">
        <v>3</v>
      </c>
      <c r="M10" s="99" t="n">
        <f aca="false">K10*L10</f>
        <v>9</v>
      </c>
      <c r="N10" s="35" t="str">
        <f aca="false">IF(M10&gt;=15,"Critical",IF(M10&gt;=10,"High",IF(M10&gt;=5,"Medium","Low")))</f>
        <v>Medium</v>
      </c>
      <c r="O10" s="51" t="s">
        <v>923</v>
      </c>
    </row>
    <row r="11" customFormat="false" ht="63.75" hidden="false" customHeight="true" outlineLevel="0" collapsed="false">
      <c r="A11" s="64" t="s">
        <v>924</v>
      </c>
      <c r="B11" s="51" t="s">
        <v>892</v>
      </c>
      <c r="C11" s="51" t="s">
        <v>925</v>
      </c>
      <c r="D11" s="51" t="s">
        <v>926</v>
      </c>
      <c r="E11" s="89" t="n">
        <v>3</v>
      </c>
      <c r="F11" s="89" t="n">
        <v>3</v>
      </c>
      <c r="G11" s="99" t="n">
        <f aca="false">E11*F11</f>
        <v>9</v>
      </c>
      <c r="H11" s="35" t="str">
        <f aca="false">IF(G11&gt;=15,"Critical",IF(G11&gt;=10,"High",IF(G11&gt;=5,"Medium","Low")))</f>
        <v>Medium</v>
      </c>
      <c r="I11" s="51" t="s">
        <v>927</v>
      </c>
      <c r="J11" s="51" t="s">
        <v>928</v>
      </c>
      <c r="K11" s="89" t="n">
        <v>2</v>
      </c>
      <c r="L11" s="89" t="n">
        <v>3</v>
      </c>
      <c r="M11" s="99" t="n">
        <f aca="false">K11*L11</f>
        <v>6</v>
      </c>
      <c r="N11" s="35" t="str">
        <f aca="false">IF(M11&gt;=15,"Critical",IF(M11&gt;=10,"High",IF(M11&gt;=5,"Medium","Low")))</f>
        <v>Medium</v>
      </c>
      <c r="O11" s="51" t="s">
        <v>929</v>
      </c>
    </row>
    <row r="12" customFormat="false" ht="63.75" hidden="false" customHeight="true" outlineLevel="0" collapsed="false">
      <c r="A12" s="64" t="s">
        <v>930</v>
      </c>
      <c r="B12" s="51" t="s">
        <v>931</v>
      </c>
      <c r="C12" s="51" t="s">
        <v>932</v>
      </c>
      <c r="D12" s="51" t="s">
        <v>933</v>
      </c>
      <c r="E12" s="89" t="n">
        <v>3</v>
      </c>
      <c r="F12" s="89" t="n">
        <v>2</v>
      </c>
      <c r="G12" s="99" t="n">
        <f aca="false">E12*F12</f>
        <v>6</v>
      </c>
      <c r="H12" s="35" t="str">
        <f aca="false">IF(G12&gt;=15,"Critical",IF(G12&gt;=10,"High",IF(G12&gt;=5,"Medium","Low")))</f>
        <v>Medium</v>
      </c>
      <c r="I12" s="51" t="s">
        <v>934</v>
      </c>
      <c r="J12" s="51" t="s">
        <v>935</v>
      </c>
      <c r="K12" s="89" t="n">
        <v>2</v>
      </c>
      <c r="L12" s="89" t="n">
        <v>2</v>
      </c>
      <c r="M12" s="99" t="n">
        <f aca="false">K12*L12</f>
        <v>4</v>
      </c>
      <c r="N12" s="35" t="str">
        <f aca="false">IF(M12&gt;=15,"Critical",IF(M12&gt;=10,"High",IF(M12&gt;=5,"Medium","Low")))</f>
        <v>Low</v>
      </c>
      <c r="O12" s="51" t="s">
        <v>936</v>
      </c>
    </row>
    <row r="13" customFormat="false" ht="63.75" hidden="false" customHeight="true" outlineLevel="0" collapsed="false">
      <c r="A13" s="64" t="s">
        <v>937</v>
      </c>
      <c r="B13" s="51" t="s">
        <v>931</v>
      </c>
      <c r="C13" s="51" t="s">
        <v>938</v>
      </c>
      <c r="D13" s="51" t="s">
        <v>939</v>
      </c>
      <c r="E13" s="89" t="n">
        <v>3</v>
      </c>
      <c r="F13" s="89" t="n">
        <v>4</v>
      </c>
      <c r="G13" s="99" t="n">
        <f aca="false">E13*F13</f>
        <v>12</v>
      </c>
      <c r="H13" s="35" t="str">
        <f aca="false">IF(G13&gt;=15,"Critical",IF(G13&gt;=10,"High",IF(G13&gt;=5,"Medium","Low")))</f>
        <v>High</v>
      </c>
      <c r="I13" s="51" t="s">
        <v>940</v>
      </c>
      <c r="J13" s="51" t="s">
        <v>935</v>
      </c>
      <c r="K13" s="89" t="n">
        <v>2</v>
      </c>
      <c r="L13" s="89" t="n">
        <v>3</v>
      </c>
      <c r="M13" s="99" t="n">
        <f aca="false">K13*L13</f>
        <v>6</v>
      </c>
      <c r="N13" s="35" t="str">
        <f aca="false">IF(M13&gt;=15,"Critical",IF(M13&gt;=10,"High",IF(M13&gt;=5,"Medium","Low")))</f>
        <v>Medium</v>
      </c>
      <c r="O13" s="51" t="s">
        <v>941</v>
      </c>
    </row>
    <row r="14" customFormat="false" ht="63.75" hidden="false" customHeight="true" outlineLevel="0" collapsed="false">
      <c r="A14" s="64" t="s">
        <v>942</v>
      </c>
      <c r="B14" s="51" t="s">
        <v>931</v>
      </c>
      <c r="C14" s="51" t="s">
        <v>943</v>
      </c>
      <c r="D14" s="51" t="s">
        <v>944</v>
      </c>
      <c r="E14" s="89" t="n">
        <v>4</v>
      </c>
      <c r="F14" s="89" t="n">
        <v>4</v>
      </c>
      <c r="G14" s="99" t="n">
        <f aca="false">E14*F14</f>
        <v>16</v>
      </c>
      <c r="H14" s="35" t="str">
        <f aca="false">IF(G14&gt;=15,"Critical",IF(G14&gt;=10,"High",IF(G14&gt;=5,"Medium","Low")))</f>
        <v>Critical</v>
      </c>
      <c r="I14" s="51" t="s">
        <v>945</v>
      </c>
      <c r="J14" s="51" t="s">
        <v>935</v>
      </c>
      <c r="K14" s="89" t="n">
        <v>3</v>
      </c>
      <c r="L14" s="89" t="n">
        <v>3</v>
      </c>
      <c r="M14" s="99" t="n">
        <f aca="false">K14*L14</f>
        <v>9</v>
      </c>
      <c r="N14" s="35" t="str">
        <f aca="false">IF(M14&gt;=15,"Critical",IF(M14&gt;=10,"High",IF(M14&gt;=5,"Medium","Low")))</f>
        <v>Medium</v>
      </c>
      <c r="O14" s="51" t="s">
        <v>946</v>
      </c>
    </row>
    <row r="15" customFormat="false" ht="63.75" hidden="false" customHeight="true" outlineLevel="0" collapsed="false">
      <c r="A15" s="64" t="s">
        <v>947</v>
      </c>
      <c r="B15" s="51" t="s">
        <v>931</v>
      </c>
      <c r="C15" s="51" t="s">
        <v>948</v>
      </c>
      <c r="D15" s="51" t="s">
        <v>949</v>
      </c>
      <c r="E15" s="89" t="n">
        <v>3</v>
      </c>
      <c r="F15" s="89" t="n">
        <v>2</v>
      </c>
      <c r="G15" s="99" t="n">
        <f aca="false">E15*F15</f>
        <v>6</v>
      </c>
      <c r="H15" s="35" t="str">
        <f aca="false">IF(G15&gt;=15,"Critical",IF(G15&gt;=10,"High",IF(G15&gt;=5,"Medium","Low")))</f>
        <v>Medium</v>
      </c>
      <c r="I15" s="51" t="s">
        <v>950</v>
      </c>
      <c r="J15" s="51" t="s">
        <v>951</v>
      </c>
      <c r="K15" s="89" t="n">
        <v>2</v>
      </c>
      <c r="L15" s="89" t="n">
        <v>2</v>
      </c>
      <c r="M15" s="99" t="n">
        <f aca="false">K15*L15</f>
        <v>4</v>
      </c>
      <c r="N15" s="35" t="str">
        <f aca="false">IF(M15&gt;=15,"Critical",IF(M15&gt;=10,"High",IF(M15&gt;=5,"Medium","Low")))</f>
        <v>Low</v>
      </c>
      <c r="O15" s="51" t="s">
        <v>952</v>
      </c>
    </row>
    <row r="16" customFormat="false" ht="63.75" hidden="false" customHeight="true" outlineLevel="0" collapsed="false">
      <c r="A16" s="64" t="s">
        <v>953</v>
      </c>
      <c r="B16" s="51" t="s">
        <v>931</v>
      </c>
      <c r="C16" s="51" t="s">
        <v>954</v>
      </c>
      <c r="D16" s="51" t="s">
        <v>955</v>
      </c>
      <c r="E16" s="89" t="n">
        <v>3</v>
      </c>
      <c r="F16" s="89" t="n">
        <v>3</v>
      </c>
      <c r="G16" s="99" t="n">
        <f aca="false">E16*F16</f>
        <v>9</v>
      </c>
      <c r="H16" s="35" t="str">
        <f aca="false">IF(G16&gt;=15,"Critical",IF(G16&gt;=10,"High",IF(G16&gt;=5,"Medium","Low")))</f>
        <v>Medium</v>
      </c>
      <c r="I16" s="51" t="s">
        <v>956</v>
      </c>
      <c r="J16" s="51" t="s">
        <v>957</v>
      </c>
      <c r="K16" s="89" t="n">
        <v>2</v>
      </c>
      <c r="L16" s="89" t="n">
        <v>3</v>
      </c>
      <c r="M16" s="99" t="n">
        <f aca="false">K16*L16</f>
        <v>6</v>
      </c>
      <c r="N16" s="35" t="str">
        <f aca="false">IF(M16&gt;=15,"Critical",IF(M16&gt;=10,"High",IF(M16&gt;=5,"Medium","Low")))</f>
        <v>Medium</v>
      </c>
      <c r="O16" s="51" t="s">
        <v>958</v>
      </c>
    </row>
    <row r="17" customFormat="false" ht="63.75" hidden="false" customHeight="true" outlineLevel="0" collapsed="false">
      <c r="A17" s="64" t="s">
        <v>959</v>
      </c>
      <c r="B17" s="51" t="s">
        <v>960</v>
      </c>
      <c r="C17" s="51" t="s">
        <v>961</v>
      </c>
      <c r="D17" s="51" t="s">
        <v>962</v>
      </c>
      <c r="E17" s="89" t="n">
        <v>3</v>
      </c>
      <c r="F17" s="89" t="n">
        <v>4</v>
      </c>
      <c r="G17" s="99" t="n">
        <f aca="false">E17*F17</f>
        <v>12</v>
      </c>
      <c r="H17" s="35" t="str">
        <f aca="false">IF(G17&gt;=15,"Critical",IF(G17&gt;=10,"High",IF(G17&gt;=5,"Medium","Low")))</f>
        <v>High</v>
      </c>
      <c r="I17" s="51" t="s">
        <v>963</v>
      </c>
      <c r="J17" s="51" t="s">
        <v>964</v>
      </c>
      <c r="K17" s="89" t="n">
        <v>2</v>
      </c>
      <c r="L17" s="89" t="n">
        <v>3</v>
      </c>
      <c r="M17" s="99" t="n">
        <f aca="false">K17*L17</f>
        <v>6</v>
      </c>
      <c r="N17" s="35" t="str">
        <f aca="false">IF(M17&gt;=15,"Critical",IF(M17&gt;=10,"High",IF(M17&gt;=5,"Medium","Low")))</f>
        <v>Medium</v>
      </c>
      <c r="O17" s="51" t="s">
        <v>965</v>
      </c>
    </row>
    <row r="18" customFormat="false" ht="63.75" hidden="false" customHeight="true" outlineLevel="0" collapsed="false">
      <c r="A18" s="64" t="s">
        <v>966</v>
      </c>
      <c r="B18" s="51" t="s">
        <v>960</v>
      </c>
      <c r="C18" s="51" t="s">
        <v>967</v>
      </c>
      <c r="D18" s="51" t="s">
        <v>968</v>
      </c>
      <c r="E18" s="89" t="n">
        <v>4</v>
      </c>
      <c r="F18" s="89" t="n">
        <v>3</v>
      </c>
      <c r="G18" s="99" t="n">
        <f aca="false">E18*F18</f>
        <v>12</v>
      </c>
      <c r="H18" s="35" t="str">
        <f aca="false">IF(G18&gt;=15,"Critical",IF(G18&gt;=10,"High",IF(G18&gt;=5,"Medium","Low")))</f>
        <v>High</v>
      </c>
      <c r="I18" s="51" t="s">
        <v>969</v>
      </c>
      <c r="J18" s="51" t="s">
        <v>922</v>
      </c>
      <c r="K18" s="89" t="n">
        <v>3</v>
      </c>
      <c r="L18" s="89" t="n">
        <v>2</v>
      </c>
      <c r="M18" s="99" t="n">
        <f aca="false">K18*L18</f>
        <v>6</v>
      </c>
      <c r="N18" s="35" t="str">
        <f aca="false">IF(M18&gt;=15,"Critical",IF(M18&gt;=10,"High",IF(M18&gt;=5,"Medium","Low")))</f>
        <v>Medium</v>
      </c>
      <c r="O18" s="51" t="s">
        <v>970</v>
      </c>
    </row>
    <row r="19" customFormat="false" ht="63.75" hidden="false" customHeight="true" outlineLevel="0" collapsed="false">
      <c r="A19" s="64" t="s">
        <v>971</v>
      </c>
      <c r="B19" s="51" t="s">
        <v>960</v>
      </c>
      <c r="C19" s="51" t="s">
        <v>972</v>
      </c>
      <c r="D19" s="51" t="s">
        <v>973</v>
      </c>
      <c r="E19" s="89" t="n">
        <v>3</v>
      </c>
      <c r="F19" s="89" t="n">
        <v>2</v>
      </c>
      <c r="G19" s="99" t="n">
        <f aca="false">E19*F19</f>
        <v>6</v>
      </c>
      <c r="H19" s="35" t="str">
        <f aca="false">IF(G19&gt;=15,"Critical",IF(G19&gt;=10,"High",IF(G19&gt;=5,"Medium","Low")))</f>
        <v>Medium</v>
      </c>
      <c r="I19" s="51" t="s">
        <v>974</v>
      </c>
      <c r="J19" s="51" t="s">
        <v>951</v>
      </c>
      <c r="K19" s="89" t="n">
        <v>2</v>
      </c>
      <c r="L19" s="89" t="n">
        <v>2</v>
      </c>
      <c r="M19" s="99" t="n">
        <f aca="false">K19*L19</f>
        <v>4</v>
      </c>
      <c r="N19" s="35" t="str">
        <f aca="false">IF(M19&gt;=15,"Critical",IF(M19&gt;=10,"High",IF(M19&gt;=5,"Medium","Low")))</f>
        <v>Low</v>
      </c>
      <c r="O19" s="51" t="s">
        <v>975</v>
      </c>
    </row>
    <row r="20" customFormat="false" ht="63.75" hidden="false" customHeight="true" outlineLevel="0" collapsed="false">
      <c r="A20" s="64" t="s">
        <v>976</v>
      </c>
      <c r="B20" s="51" t="s">
        <v>960</v>
      </c>
      <c r="C20" s="51" t="s">
        <v>977</v>
      </c>
      <c r="D20" s="51" t="s">
        <v>978</v>
      </c>
      <c r="E20" s="89" t="n">
        <v>3</v>
      </c>
      <c r="F20" s="89" t="n">
        <v>2</v>
      </c>
      <c r="G20" s="99" t="n">
        <f aca="false">E20*F20</f>
        <v>6</v>
      </c>
      <c r="H20" s="35" t="str">
        <f aca="false">IF(G20&gt;=15,"Critical",IF(G20&gt;=10,"High",IF(G20&gt;=5,"Medium","Low")))</f>
        <v>Medium</v>
      </c>
      <c r="I20" s="51" t="s">
        <v>979</v>
      </c>
      <c r="J20" s="51" t="s">
        <v>294</v>
      </c>
      <c r="K20" s="89" t="n">
        <v>2</v>
      </c>
      <c r="L20" s="89" t="n">
        <v>2</v>
      </c>
      <c r="M20" s="99" t="n">
        <f aca="false">K20*L20</f>
        <v>4</v>
      </c>
      <c r="N20" s="35" t="str">
        <f aca="false">IF(M20&gt;=15,"Critical",IF(M20&gt;=10,"High",IF(M20&gt;=5,"Medium","Low")))</f>
        <v>Low</v>
      </c>
      <c r="O20" s="51" t="s">
        <v>980</v>
      </c>
    </row>
    <row r="21" customFormat="false" ht="63.75" hidden="false" customHeight="true" outlineLevel="0" collapsed="false">
      <c r="A21" s="64" t="s">
        <v>981</v>
      </c>
      <c r="B21" s="51" t="s">
        <v>960</v>
      </c>
      <c r="C21" s="51" t="s">
        <v>982</v>
      </c>
      <c r="D21" s="51" t="s">
        <v>983</v>
      </c>
      <c r="E21" s="89" t="n">
        <v>2</v>
      </c>
      <c r="F21" s="89" t="n">
        <v>3</v>
      </c>
      <c r="G21" s="99" t="n">
        <f aca="false">E21*F21</f>
        <v>6</v>
      </c>
      <c r="H21" s="35" t="str">
        <f aca="false">IF(G21&gt;=15,"Critical",IF(G21&gt;=10,"High",IF(G21&gt;=5,"Medium","Low")))</f>
        <v>Medium</v>
      </c>
      <c r="I21" s="51" t="s">
        <v>984</v>
      </c>
      <c r="J21" s="51" t="s">
        <v>985</v>
      </c>
      <c r="K21" s="89" t="n">
        <v>2</v>
      </c>
      <c r="L21" s="89" t="n">
        <v>2</v>
      </c>
      <c r="M21" s="99" t="n">
        <f aca="false">K21*L21</f>
        <v>4</v>
      </c>
      <c r="N21" s="35" t="str">
        <f aca="false">IF(M21&gt;=15,"Critical",IF(M21&gt;=10,"High",IF(M21&gt;=5,"Medium","Low")))</f>
        <v>Low</v>
      </c>
      <c r="O21" s="51" t="s">
        <v>986</v>
      </c>
    </row>
    <row r="22" customFormat="false" ht="63.75" hidden="false" customHeight="true" outlineLevel="0" collapsed="false">
      <c r="A22" s="64" t="s">
        <v>987</v>
      </c>
      <c r="B22" s="51" t="s">
        <v>960</v>
      </c>
      <c r="C22" s="51" t="s">
        <v>988</v>
      </c>
      <c r="D22" s="51" t="s">
        <v>989</v>
      </c>
      <c r="E22" s="89" t="n">
        <v>3</v>
      </c>
      <c r="F22" s="89" t="n">
        <v>2</v>
      </c>
      <c r="G22" s="99" t="n">
        <f aca="false">E22*F22</f>
        <v>6</v>
      </c>
      <c r="H22" s="35" t="str">
        <f aca="false">IF(G22&gt;=15,"Critical",IF(G22&gt;=10,"High",IF(G22&gt;=5,"Medium","Low")))</f>
        <v>Medium</v>
      </c>
      <c r="I22" s="51" t="s">
        <v>990</v>
      </c>
      <c r="J22" s="51" t="s">
        <v>991</v>
      </c>
      <c r="K22" s="89" t="n">
        <v>2</v>
      </c>
      <c r="L22" s="89" t="n">
        <v>2</v>
      </c>
      <c r="M22" s="99" t="n">
        <f aca="false">K22*L22</f>
        <v>4</v>
      </c>
      <c r="N22" s="35" t="str">
        <f aca="false">IF(M22&gt;=15,"Critical",IF(M22&gt;=10,"High",IF(M22&gt;=5,"Medium","Low")))</f>
        <v>Low</v>
      </c>
      <c r="O22" s="51" t="s">
        <v>992</v>
      </c>
    </row>
    <row r="23" customFormat="false" ht="63.75" hidden="false" customHeight="true" outlineLevel="0" collapsed="false">
      <c r="A23" s="64" t="s">
        <v>993</v>
      </c>
      <c r="B23" s="51" t="s">
        <v>994</v>
      </c>
      <c r="C23" s="51" t="s">
        <v>995</v>
      </c>
      <c r="D23" s="51" t="s">
        <v>996</v>
      </c>
      <c r="E23" s="89" t="n">
        <v>3</v>
      </c>
      <c r="F23" s="89" t="n">
        <v>4</v>
      </c>
      <c r="G23" s="99" t="n">
        <f aca="false">E23*F23</f>
        <v>12</v>
      </c>
      <c r="H23" s="35" t="str">
        <f aca="false">IF(G23&gt;=15,"Critical",IF(G23&gt;=10,"High",IF(G23&gt;=5,"Medium","Low")))</f>
        <v>High</v>
      </c>
      <c r="I23" s="51" t="s">
        <v>997</v>
      </c>
      <c r="J23" s="51" t="s">
        <v>922</v>
      </c>
      <c r="K23" s="89" t="n">
        <v>2</v>
      </c>
      <c r="L23" s="89" t="n">
        <v>3</v>
      </c>
      <c r="M23" s="99" t="n">
        <f aca="false">K23*L23</f>
        <v>6</v>
      </c>
      <c r="N23" s="35" t="str">
        <f aca="false">IF(M23&gt;=15,"Critical",IF(M23&gt;=10,"High",IF(M23&gt;=5,"Medium","Low")))</f>
        <v>Medium</v>
      </c>
      <c r="O23" s="51" t="s">
        <v>998</v>
      </c>
    </row>
    <row r="24" customFormat="false" ht="63.75" hidden="false" customHeight="true" outlineLevel="0" collapsed="false">
      <c r="A24" s="64" t="s">
        <v>999</v>
      </c>
      <c r="B24" s="51" t="s">
        <v>994</v>
      </c>
      <c r="C24" s="51" t="s">
        <v>1000</v>
      </c>
      <c r="D24" s="51" t="s">
        <v>1001</v>
      </c>
      <c r="E24" s="89" t="n">
        <v>4</v>
      </c>
      <c r="F24" s="89" t="n">
        <v>3</v>
      </c>
      <c r="G24" s="99" t="n">
        <f aca="false">E24*F24</f>
        <v>12</v>
      </c>
      <c r="H24" s="35" t="str">
        <f aca="false">IF(G24&gt;=15,"Critical",IF(G24&gt;=10,"High",IF(G24&gt;=5,"Medium","Low")))</f>
        <v>High</v>
      </c>
      <c r="I24" s="51" t="s">
        <v>1002</v>
      </c>
      <c r="J24" s="51" t="s">
        <v>991</v>
      </c>
      <c r="K24" s="89" t="n">
        <v>3</v>
      </c>
      <c r="L24" s="89" t="n">
        <v>2</v>
      </c>
      <c r="M24" s="99" t="n">
        <f aca="false">K24*L24</f>
        <v>6</v>
      </c>
      <c r="N24" s="35" t="str">
        <f aca="false">IF(M24&gt;=15,"Critical",IF(M24&gt;=10,"High",IF(M24&gt;=5,"Medium","Low")))</f>
        <v>Medium</v>
      </c>
      <c r="O24" s="51" t="s">
        <v>1003</v>
      </c>
    </row>
    <row r="25" customFormat="false" ht="63.75" hidden="false" customHeight="true" outlineLevel="0" collapsed="false">
      <c r="A25" s="64" t="s">
        <v>1004</v>
      </c>
      <c r="B25" s="51" t="s">
        <v>994</v>
      </c>
      <c r="C25" s="51" t="s">
        <v>1005</v>
      </c>
      <c r="D25" s="51" t="s">
        <v>1006</v>
      </c>
      <c r="E25" s="89" t="n">
        <v>3</v>
      </c>
      <c r="F25" s="89" t="n">
        <v>4</v>
      </c>
      <c r="G25" s="99" t="n">
        <f aca="false">E25*F25</f>
        <v>12</v>
      </c>
      <c r="H25" s="35" t="str">
        <f aca="false">IF(G25&gt;=15,"Critical",IF(G25&gt;=10,"High",IF(G25&gt;=5,"Medium","Low")))</f>
        <v>High</v>
      </c>
      <c r="I25" s="51" t="s">
        <v>1007</v>
      </c>
      <c r="J25" s="51" t="s">
        <v>1008</v>
      </c>
      <c r="K25" s="89" t="n">
        <v>2</v>
      </c>
      <c r="L25" s="89" t="n">
        <v>3</v>
      </c>
      <c r="M25" s="99" t="n">
        <f aca="false">K25*L25</f>
        <v>6</v>
      </c>
      <c r="N25" s="35" t="str">
        <f aca="false">IF(M25&gt;=15,"Critical",IF(M25&gt;=10,"High",IF(M25&gt;=5,"Medium","Low")))</f>
        <v>Medium</v>
      </c>
      <c r="O25" s="51" t="s">
        <v>1009</v>
      </c>
    </row>
    <row r="26" customFormat="false" ht="63.75" hidden="false" customHeight="true" outlineLevel="0" collapsed="false">
      <c r="A26" s="64" t="s">
        <v>1010</v>
      </c>
      <c r="B26" s="51" t="s">
        <v>994</v>
      </c>
      <c r="C26" s="51" t="s">
        <v>1011</v>
      </c>
      <c r="D26" s="51" t="s">
        <v>1012</v>
      </c>
      <c r="E26" s="89" t="n">
        <v>3</v>
      </c>
      <c r="F26" s="89" t="n">
        <v>3</v>
      </c>
      <c r="G26" s="99" t="n">
        <f aca="false">E26*F26</f>
        <v>9</v>
      </c>
      <c r="H26" s="35" t="str">
        <f aca="false">IF(G26&gt;=15,"Critical",IF(G26&gt;=10,"High",IF(G26&gt;=5,"Medium","Low")))</f>
        <v>Medium</v>
      </c>
      <c r="I26" s="51" t="s">
        <v>1013</v>
      </c>
      <c r="J26" s="51" t="s">
        <v>1014</v>
      </c>
      <c r="K26" s="89" t="n">
        <v>2</v>
      </c>
      <c r="L26" s="89" t="n">
        <v>2</v>
      </c>
      <c r="M26" s="99" t="n">
        <f aca="false">K26*L26</f>
        <v>4</v>
      </c>
      <c r="N26" s="35" t="str">
        <f aca="false">IF(M26&gt;=15,"Critical",IF(M26&gt;=10,"High",IF(M26&gt;=5,"Medium","Low")))</f>
        <v>Low</v>
      </c>
      <c r="O26" s="51" t="s">
        <v>1015</v>
      </c>
    </row>
    <row r="27" customFormat="false" ht="63.75" hidden="false" customHeight="true" outlineLevel="0" collapsed="false">
      <c r="A27" s="64" t="s">
        <v>1016</v>
      </c>
      <c r="B27" s="51" t="s">
        <v>994</v>
      </c>
      <c r="C27" s="51" t="s">
        <v>1017</v>
      </c>
      <c r="D27" s="51" t="s">
        <v>1018</v>
      </c>
      <c r="E27" s="89" t="n">
        <v>2</v>
      </c>
      <c r="F27" s="89" t="n">
        <v>4</v>
      </c>
      <c r="G27" s="99" t="n">
        <f aca="false">E27*F27</f>
        <v>8</v>
      </c>
      <c r="H27" s="35" t="str">
        <f aca="false">IF(G27&gt;=15,"Critical",IF(G27&gt;=10,"High",IF(G27&gt;=5,"Medium","Low")))</f>
        <v>Medium</v>
      </c>
      <c r="I27" s="51" t="s">
        <v>1019</v>
      </c>
      <c r="J27" s="51" t="s">
        <v>985</v>
      </c>
      <c r="K27" s="89" t="n">
        <v>2</v>
      </c>
      <c r="L27" s="89" t="n">
        <v>3</v>
      </c>
      <c r="M27" s="99" t="n">
        <f aca="false">K27*L27</f>
        <v>6</v>
      </c>
      <c r="N27" s="35" t="str">
        <f aca="false">IF(M27&gt;=15,"Critical",IF(M27&gt;=10,"High",IF(M27&gt;=5,"Medium","Low")))</f>
        <v>Medium</v>
      </c>
      <c r="O27" s="51" t="s">
        <v>1020</v>
      </c>
    </row>
    <row r="28" customFormat="false" ht="63.75" hidden="false" customHeight="true" outlineLevel="0" collapsed="false">
      <c r="A28" s="64" t="s">
        <v>1021</v>
      </c>
      <c r="B28" s="51" t="s">
        <v>1022</v>
      </c>
      <c r="C28" s="51" t="s">
        <v>1023</v>
      </c>
      <c r="D28" s="51" t="s">
        <v>1024</v>
      </c>
      <c r="E28" s="89" t="n">
        <v>3</v>
      </c>
      <c r="F28" s="89" t="n">
        <v>3</v>
      </c>
      <c r="G28" s="99" t="n">
        <f aca="false">E28*F28</f>
        <v>9</v>
      </c>
      <c r="H28" s="35" t="str">
        <f aca="false">IF(G28&gt;=15,"Critical",IF(G28&gt;=10,"High",IF(G28&gt;=5,"Medium","Low")))</f>
        <v>Medium</v>
      </c>
      <c r="I28" s="51" t="s">
        <v>1025</v>
      </c>
      <c r="J28" s="51" t="s">
        <v>911</v>
      </c>
      <c r="K28" s="89" t="n">
        <v>2</v>
      </c>
      <c r="L28" s="89" t="n">
        <v>3</v>
      </c>
      <c r="M28" s="99" t="n">
        <f aca="false">K28*L28</f>
        <v>6</v>
      </c>
      <c r="N28" s="35" t="str">
        <f aca="false">IF(M28&gt;=15,"Critical",IF(M28&gt;=10,"High",IF(M28&gt;=5,"Medium","Low")))</f>
        <v>Medium</v>
      </c>
      <c r="O28" s="51" t="s">
        <v>1026</v>
      </c>
    </row>
    <row r="29" customFormat="false" ht="63.75" hidden="false" customHeight="true" outlineLevel="0" collapsed="false">
      <c r="A29" s="64" t="s">
        <v>1027</v>
      </c>
      <c r="B29" s="51" t="s">
        <v>1022</v>
      </c>
      <c r="C29" s="51" t="s">
        <v>1028</v>
      </c>
      <c r="D29" s="51" t="s">
        <v>1029</v>
      </c>
      <c r="E29" s="89" t="n">
        <v>2</v>
      </c>
      <c r="F29" s="89" t="n">
        <v>4</v>
      </c>
      <c r="G29" s="99" t="n">
        <f aca="false">E29*F29</f>
        <v>8</v>
      </c>
      <c r="H29" s="35" t="str">
        <f aca="false">IF(G29&gt;=15,"Critical",IF(G29&gt;=10,"High",IF(G29&gt;=5,"Medium","Low")))</f>
        <v>Medium</v>
      </c>
      <c r="I29" s="51" t="s">
        <v>1030</v>
      </c>
      <c r="J29" s="51" t="s">
        <v>1031</v>
      </c>
      <c r="K29" s="89" t="n">
        <v>2</v>
      </c>
      <c r="L29" s="89" t="n">
        <v>3</v>
      </c>
      <c r="M29" s="99" t="n">
        <f aca="false">K29*L29</f>
        <v>6</v>
      </c>
      <c r="N29" s="35" t="str">
        <f aca="false">IF(M29&gt;=15,"Critical",IF(M29&gt;=10,"High",IF(M29&gt;=5,"Medium","Low")))</f>
        <v>Medium</v>
      </c>
      <c r="O29" s="51" t="s">
        <v>1032</v>
      </c>
    </row>
    <row r="30" customFormat="false" ht="63.75" hidden="false" customHeight="true" outlineLevel="0" collapsed="false">
      <c r="A30" s="64" t="s">
        <v>1033</v>
      </c>
      <c r="B30" s="51" t="s">
        <v>1022</v>
      </c>
      <c r="C30" s="51" t="s">
        <v>1034</v>
      </c>
      <c r="D30" s="51" t="s">
        <v>1035</v>
      </c>
      <c r="E30" s="89" t="n">
        <v>2</v>
      </c>
      <c r="F30" s="89" t="n">
        <v>3</v>
      </c>
      <c r="G30" s="99" t="n">
        <f aca="false">E30*F30</f>
        <v>6</v>
      </c>
      <c r="H30" s="35" t="str">
        <f aca="false">IF(G30&gt;=15,"Critical",IF(G30&gt;=10,"High",IF(G30&gt;=5,"Medium","Low")))</f>
        <v>Medium</v>
      </c>
      <c r="I30" s="51" t="s">
        <v>1036</v>
      </c>
      <c r="J30" s="51" t="s">
        <v>935</v>
      </c>
      <c r="K30" s="89" t="n">
        <v>2</v>
      </c>
      <c r="L30" s="89" t="n">
        <v>2</v>
      </c>
      <c r="M30" s="99" t="n">
        <f aca="false">K30*L30</f>
        <v>4</v>
      </c>
      <c r="N30" s="35" t="str">
        <f aca="false">IF(M30&gt;=15,"Critical",IF(M30&gt;=10,"High",IF(M30&gt;=5,"Medium","Low")))</f>
        <v>Low</v>
      </c>
      <c r="O30" s="51" t="s">
        <v>1037</v>
      </c>
    </row>
    <row r="33" customFormat="false" ht="15" hidden="false" customHeight="false" outlineLevel="0" collapsed="false">
      <c r="A33" s="4" t="s">
        <v>1038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customFormat="false" ht="33.75" hidden="false" customHeight="true" outlineLevel="0" collapsed="false">
      <c r="A34" s="16"/>
      <c r="B34" s="17" t="s">
        <v>878</v>
      </c>
      <c r="C34" s="17"/>
      <c r="D34" s="17" t="s">
        <v>1039</v>
      </c>
      <c r="E34" s="17"/>
      <c r="F34" s="17"/>
      <c r="G34" s="17" t="s">
        <v>1040</v>
      </c>
      <c r="H34" s="17"/>
      <c r="I34" s="17"/>
      <c r="J34" s="17" t="s">
        <v>1041</v>
      </c>
      <c r="K34" s="17"/>
      <c r="L34" s="17" t="s">
        <v>1042</v>
      </c>
      <c r="M34" s="17"/>
      <c r="N34" s="17" t="s">
        <v>1043</v>
      </c>
      <c r="O34" s="17" t="s">
        <v>1044</v>
      </c>
    </row>
    <row r="35" customFormat="false" ht="15" hidden="false" customHeight="false" outlineLevel="0" collapsed="false">
      <c r="B35" s="7" t="s">
        <v>892</v>
      </c>
      <c r="D35" s="92" t="n">
        <f aca="false">COUNTIFS($B$5:$B$30,B35,$H$5:$H$30,"Critical")</f>
        <v>2</v>
      </c>
      <c r="G35" s="92" t="n">
        <f aca="false">COUNTIFS($B$5:$B$30,B35,$H$5:$H$30,"High")</f>
        <v>4</v>
      </c>
      <c r="J35" s="92" t="n">
        <f aca="false">COUNTIFS($B$5:$B$30,B35,$N$5:$N$30,"Critical")</f>
        <v>0</v>
      </c>
      <c r="L35" s="92" t="n">
        <f aca="false">COUNTIFS($B$5:$B$30,B35,$N$5:$N$30,"High")</f>
        <v>0</v>
      </c>
      <c r="N35" s="97" t="n">
        <f aca="false">AVERAGEIF($B$5:$B$30,B35,$G$5:$G$30)</f>
        <v>12.7142857142857</v>
      </c>
      <c r="O35" s="97" t="n">
        <f aca="false">AVERAGEIF($B$5:$B$30,B35,$M$5:$M$30)</f>
        <v>7.71428571428571</v>
      </c>
    </row>
    <row r="36" customFormat="false" ht="15" hidden="false" customHeight="false" outlineLevel="0" collapsed="false">
      <c r="B36" s="7" t="s">
        <v>931</v>
      </c>
      <c r="D36" s="92" t="n">
        <f aca="false">COUNTIFS($B$5:$B$30,B36,$H$5:$H$30,"Critical")</f>
        <v>1</v>
      </c>
      <c r="G36" s="92" t="n">
        <f aca="false">COUNTIFS($B$5:$B$30,B36,$H$5:$H$30,"High")</f>
        <v>1</v>
      </c>
      <c r="J36" s="92" t="n">
        <f aca="false">COUNTIFS($B$5:$B$30,B36,$N$5:$N$30,"Critical")</f>
        <v>0</v>
      </c>
      <c r="L36" s="92" t="n">
        <f aca="false">COUNTIFS($B$5:$B$30,B36,$N$5:$N$30,"High")</f>
        <v>0</v>
      </c>
      <c r="N36" s="97" t="n">
        <f aca="false">AVERAGEIF($B$5:$B$30,B36,$G$5:$G$30)</f>
        <v>9.8</v>
      </c>
      <c r="O36" s="97" t="n">
        <f aca="false">AVERAGEIF($B$5:$B$30,B36,$M$5:$M$30)</f>
        <v>5.8</v>
      </c>
    </row>
    <row r="37" customFormat="false" ht="15" hidden="false" customHeight="false" outlineLevel="0" collapsed="false">
      <c r="B37" s="7" t="s">
        <v>960</v>
      </c>
      <c r="D37" s="92" t="n">
        <f aca="false">COUNTIFS($B$5:$B$30,B37,$H$5:$H$30,"Critical")</f>
        <v>0</v>
      </c>
      <c r="G37" s="92" t="n">
        <f aca="false">COUNTIFS($B$5:$B$30,B37,$H$5:$H$30,"High")</f>
        <v>2</v>
      </c>
      <c r="J37" s="92" t="n">
        <f aca="false">COUNTIFS($B$5:$B$30,B37,$N$5:$N$30,"Critical")</f>
        <v>0</v>
      </c>
      <c r="L37" s="92" t="n">
        <f aca="false">COUNTIFS($B$5:$B$30,B37,$N$5:$N$30,"High")</f>
        <v>0</v>
      </c>
      <c r="N37" s="97" t="n">
        <f aca="false">AVERAGEIF($B$5:$B$30,B37,$G$5:$G$30)</f>
        <v>8</v>
      </c>
      <c r="O37" s="97" t="n">
        <f aca="false">AVERAGEIF($B$5:$B$30,B37,$M$5:$M$30)</f>
        <v>4.66666666666667</v>
      </c>
    </row>
    <row r="38" customFormat="false" ht="15" hidden="false" customHeight="false" outlineLevel="0" collapsed="false">
      <c r="B38" s="7" t="s">
        <v>994</v>
      </c>
      <c r="D38" s="92" t="n">
        <f aca="false">COUNTIFS($B$5:$B$30,B38,$H$5:$H$30,"Critical")</f>
        <v>0</v>
      </c>
      <c r="G38" s="92" t="n">
        <f aca="false">COUNTIFS($B$5:$B$30,B38,$H$5:$H$30,"High")</f>
        <v>3</v>
      </c>
      <c r="J38" s="92" t="n">
        <f aca="false">COUNTIFS($B$5:$B$30,B38,$N$5:$N$30,"Critical")</f>
        <v>0</v>
      </c>
      <c r="L38" s="92" t="n">
        <f aca="false">COUNTIFS($B$5:$B$30,B38,$N$5:$N$30,"High")</f>
        <v>0</v>
      </c>
      <c r="N38" s="97" t="n">
        <f aca="false">AVERAGEIF($B$5:$B$30,B38,$G$5:$G$30)</f>
        <v>10.6</v>
      </c>
      <c r="O38" s="97" t="n">
        <f aca="false">AVERAGEIF($B$5:$B$30,B38,$M$5:$M$30)</f>
        <v>5.6</v>
      </c>
    </row>
    <row r="39" customFormat="false" ht="15" hidden="false" customHeight="false" outlineLevel="0" collapsed="false">
      <c r="B39" s="7" t="s">
        <v>1022</v>
      </c>
      <c r="D39" s="92" t="n">
        <f aca="false">COUNTIFS($B$5:$B$30,B39,$H$5:$H$30,"Critical")</f>
        <v>0</v>
      </c>
      <c r="G39" s="92" t="n">
        <f aca="false">COUNTIFS($B$5:$B$30,B39,$H$5:$H$30,"High")</f>
        <v>0</v>
      </c>
      <c r="J39" s="92" t="n">
        <f aca="false">COUNTIFS($B$5:$B$30,B39,$N$5:$N$30,"Critical")</f>
        <v>0</v>
      </c>
      <c r="L39" s="92" t="n">
        <f aca="false">COUNTIFS($B$5:$B$30,B39,$N$5:$N$30,"High")</f>
        <v>0</v>
      </c>
      <c r="N39" s="97" t="n">
        <f aca="false">AVERAGEIF($B$5:$B$30,B39,$G$5:$G$30)</f>
        <v>7.66666666666667</v>
      </c>
      <c r="O39" s="97" t="n">
        <f aca="false">AVERAGEIF($B$5:$B$30,B39,$M$5:$M$30)</f>
        <v>5.33333333333333</v>
      </c>
    </row>
    <row r="40" customFormat="false" ht="15" hidden="false" customHeight="false" outlineLevel="0" collapsed="false">
      <c r="B40" s="7" t="s">
        <v>1045</v>
      </c>
      <c r="D40" s="99" t="n">
        <f aca="false">SUM(D35:D39)</f>
        <v>3</v>
      </c>
      <c r="G40" s="99" t="n">
        <f aca="false">SUM(G35:G39)</f>
        <v>10</v>
      </c>
      <c r="J40" s="99" t="n">
        <f aca="false">SUM(J35:J39)</f>
        <v>0</v>
      </c>
      <c r="L40" s="99" t="n">
        <f aca="false">SUM(L35:L39)</f>
        <v>0</v>
      </c>
      <c r="N40" s="100" t="n">
        <f aca="false">AVERAGE(G5:G30)</f>
        <v>10.0769230769231</v>
      </c>
      <c r="O40" s="100" t="n">
        <f aca="false">AVERAGE(M5:M30)</f>
        <v>5.96153846153846</v>
      </c>
    </row>
    <row r="43" customFormat="false" ht="15" hidden="false" customHeight="false" outlineLevel="0" collapsed="false">
      <c r="A43" s="4" t="s">
        <v>1046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customFormat="false" ht="15" hidden="false" customHeight="false" outlineLevel="0" collapsed="false">
      <c r="B44" s="7" t="s">
        <v>1047</v>
      </c>
      <c r="D44" s="99" t="n">
        <v>1</v>
      </c>
      <c r="E44" s="99" t="n">
        <v>2</v>
      </c>
      <c r="F44" s="99" t="n">
        <v>3</v>
      </c>
      <c r="G44" s="99" t="n">
        <v>4</v>
      </c>
      <c r="H44" s="99" t="n">
        <v>5</v>
      </c>
    </row>
    <row r="45" customFormat="false" ht="15" hidden="false" customHeight="false" outlineLevel="0" collapsed="false">
      <c r="B45" s="99" t="n">
        <v>5</v>
      </c>
      <c r="D45" s="101" t="n">
        <f aca="false">COUNTIFS($E$5:$E$30,$B45,$F$5:$F$30,D$44)</f>
        <v>0</v>
      </c>
      <c r="E45" s="102" t="n">
        <f aca="false">COUNTIFS($E$5:$E$30,$B45,$F$5:$F$30,E$44)</f>
        <v>0</v>
      </c>
      <c r="F45" s="103" t="n">
        <f aca="false">COUNTIFS($E$5:$E$30,$B45,$F$5:$F$30,F$44)</f>
        <v>0</v>
      </c>
      <c r="G45" s="103" t="n">
        <f aca="false">COUNTIFS($E$5:$E$30,$B45,$F$5:$F$30,G$44)</f>
        <v>0</v>
      </c>
      <c r="H45" s="103" t="n">
        <f aca="false">COUNTIFS($E$5:$E$30,$B45,$F$5:$F$30,H$44)</f>
        <v>0</v>
      </c>
    </row>
    <row r="46" customFormat="false" ht="15" hidden="false" customHeight="false" outlineLevel="0" collapsed="false">
      <c r="B46" s="99" t="n">
        <v>4</v>
      </c>
      <c r="D46" s="104" t="n">
        <f aca="false">COUNTIFS($E$5:$E$30,$B46,$F$5:$F$30,D$44)</f>
        <v>0</v>
      </c>
      <c r="E46" s="101" t="n">
        <f aca="false">COUNTIFS($E$5:$E$30,$B46,$F$5:$F$30,E$44)</f>
        <v>0</v>
      </c>
      <c r="F46" s="102" t="n">
        <f aca="false">COUNTIFS($E$5:$E$30,$B46,$F$5:$F$30,F$44)</f>
        <v>5</v>
      </c>
      <c r="G46" s="103" t="n">
        <f aca="false">COUNTIFS($E$5:$E$30,$B46,$F$5:$F$30,G$44)</f>
        <v>3</v>
      </c>
      <c r="H46" s="103" t="n">
        <f aca="false">COUNTIFS($E$5:$E$30,$B46,$F$5:$F$30,H$44)</f>
        <v>0</v>
      </c>
    </row>
    <row r="47" customFormat="false" ht="15" hidden="false" customHeight="false" outlineLevel="0" collapsed="false">
      <c r="B47" s="99" t="n">
        <v>3</v>
      </c>
      <c r="D47" s="104" t="n">
        <f aca="false">COUNTIFS($E$5:$E$30,$B47,$F$5:$F$30,D$44)</f>
        <v>0</v>
      </c>
      <c r="E47" s="101" t="n">
        <f aca="false">COUNTIFS($E$5:$E$30,$B47,$F$5:$F$30,E$44)</f>
        <v>5</v>
      </c>
      <c r="F47" s="101" t="n">
        <f aca="false">COUNTIFS($E$5:$E$30,$B47,$F$5:$F$30,F$44)</f>
        <v>4</v>
      </c>
      <c r="G47" s="102" t="n">
        <f aca="false">COUNTIFS($E$5:$E$30,$B47,$F$5:$F$30,G$44)</f>
        <v>5</v>
      </c>
      <c r="H47" s="103" t="n">
        <f aca="false">COUNTIFS($E$5:$E$30,$B47,$F$5:$F$30,H$44)</f>
        <v>0</v>
      </c>
    </row>
    <row r="48" customFormat="false" ht="15" hidden="false" customHeight="false" outlineLevel="0" collapsed="false">
      <c r="B48" s="99" t="n">
        <v>2</v>
      </c>
      <c r="D48" s="104" t="n">
        <f aca="false">COUNTIFS($E$5:$E$30,$B48,$F$5:$F$30,D$44)</f>
        <v>0</v>
      </c>
      <c r="E48" s="104" t="n">
        <f aca="false">COUNTIFS($E$5:$E$30,$B48,$F$5:$F$30,E$44)</f>
        <v>0</v>
      </c>
      <c r="F48" s="101" t="n">
        <f aca="false">COUNTIFS($E$5:$E$30,$B48,$F$5:$F$30,F$44)</f>
        <v>2</v>
      </c>
      <c r="G48" s="101" t="n">
        <f aca="false">COUNTIFS($E$5:$E$30,$B48,$F$5:$F$30,G$44)</f>
        <v>2</v>
      </c>
      <c r="H48" s="102" t="n">
        <f aca="false">COUNTIFS($E$5:$E$30,$B48,$F$5:$F$30,H$44)</f>
        <v>0</v>
      </c>
    </row>
    <row r="49" customFormat="false" ht="15" hidden="false" customHeight="false" outlineLevel="0" collapsed="false">
      <c r="B49" s="99" t="n">
        <v>1</v>
      </c>
      <c r="D49" s="104" t="n">
        <f aca="false">COUNTIFS($E$5:$E$30,$B49,$F$5:$F$30,D$44)</f>
        <v>0</v>
      </c>
      <c r="E49" s="104" t="n">
        <f aca="false">COUNTIFS($E$5:$E$30,$B49,$F$5:$F$30,E$44)</f>
        <v>0</v>
      </c>
      <c r="F49" s="104" t="n">
        <f aca="false">COUNTIFS($E$5:$E$30,$B49,$F$5:$F$30,F$44)</f>
        <v>0</v>
      </c>
      <c r="G49" s="104" t="n">
        <f aca="false">COUNTIFS($E$5:$E$30,$B49,$F$5:$F$30,G$44)</f>
        <v>0</v>
      </c>
      <c r="H49" s="101" t="n">
        <f aca="false">COUNTIFS($E$5:$E$30,$B49,$F$5:$F$30,H$44)</f>
        <v>0</v>
      </c>
    </row>
  </sheetData>
  <conditionalFormatting sqref="H5:H30">
    <cfRule type="cellIs" priority="2" operator="equal" aboveAverage="0" equalAverage="0" bottom="0" percent="0" rank="0" text="" dxfId="1">
      <formula>"Critical"</formula>
    </cfRule>
    <cfRule type="cellIs" priority="3" operator="equal" aboveAverage="0" equalAverage="0" bottom="0" percent="0" rank="0" text="" dxfId="4">
      <formula>"High"</formula>
    </cfRule>
    <cfRule type="cellIs" priority="4" operator="equal" aboveAverage="0" equalAverage="0" bottom="0" percent="0" rank="0" text="" dxfId="5">
      <formula>"Medium"</formula>
    </cfRule>
    <cfRule type="cellIs" priority="5" operator="equal" aboveAverage="0" equalAverage="0" bottom="0" percent="0" rank="0" text="" dxfId="0">
      <formula>"Low"</formula>
    </cfRule>
  </conditionalFormatting>
  <conditionalFormatting sqref="N5:N30">
    <cfRule type="cellIs" priority="6" operator="equal" aboveAverage="0" equalAverage="0" bottom="0" percent="0" rank="0" text="" dxfId="1">
      <formula>"Critical"</formula>
    </cfRule>
    <cfRule type="cellIs" priority="7" operator="equal" aboveAverage="0" equalAverage="0" bottom="0" percent="0" rank="0" text="" dxfId="4">
      <formula>"High"</formula>
    </cfRule>
    <cfRule type="cellIs" priority="8" operator="equal" aboveAverage="0" equalAverage="0" bottom="0" percent="0" rank="0" text="" dxfId="5">
      <formula>"Medium"</formula>
    </cfRule>
    <cfRule type="cellIs" priority="9" operator="equal" aboveAverage="0" equalAverage="0" bottom="0" percent="0" rank="0" text="" dxfId="0">
      <formula>"Low"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S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8"/>
    <col collapsed="false" customWidth="true" hidden="false" outlineLevel="0" max="4" min="4" style="0" width="18"/>
    <col collapsed="false" customWidth="true" hidden="false" outlineLevel="0" max="5" min="5" style="0" width="26"/>
    <col collapsed="false" customWidth="true" hidden="false" outlineLevel="0" max="19" min="6" style="0" width="6.51"/>
  </cols>
  <sheetData>
    <row r="1" customFormat="false" ht="17.35" hidden="false" customHeight="false" outlineLevel="0" collapsed="false">
      <c r="A1" s="13" t="s">
        <v>1048</v>
      </c>
    </row>
    <row r="2" customFormat="false" ht="15" hidden="false" customHeight="false" outlineLevel="0" collapsed="false">
      <c r="A2" s="14" t="s">
        <v>1049</v>
      </c>
    </row>
    <row r="4" customFormat="false" ht="30" hidden="false" customHeight="true" outlineLevel="0" collapsed="false">
      <c r="A4" s="16" t="s">
        <v>1050</v>
      </c>
      <c r="B4" s="17" t="s">
        <v>1051</v>
      </c>
      <c r="C4" s="17" t="s">
        <v>1052</v>
      </c>
      <c r="D4" s="17" t="s">
        <v>464</v>
      </c>
      <c r="E4" s="17" t="s">
        <v>1053</v>
      </c>
      <c r="F4" s="17" t="s">
        <v>1054</v>
      </c>
      <c r="G4" s="17" t="s">
        <v>1055</v>
      </c>
      <c r="H4" s="17" t="s">
        <v>1056</v>
      </c>
      <c r="I4" s="17" t="s">
        <v>1057</v>
      </c>
      <c r="J4" s="17" t="s">
        <v>1058</v>
      </c>
      <c r="K4" s="17" t="s">
        <v>1059</v>
      </c>
      <c r="L4" s="17" t="s">
        <v>1060</v>
      </c>
      <c r="M4" s="17" t="s">
        <v>1061</v>
      </c>
      <c r="N4" s="17" t="s">
        <v>1062</v>
      </c>
      <c r="O4" s="17" t="s">
        <v>1063</v>
      </c>
      <c r="P4" s="17" t="s">
        <v>1064</v>
      </c>
      <c r="Q4" s="17" t="s">
        <v>1065</v>
      </c>
      <c r="R4" s="17" t="s">
        <v>1066</v>
      </c>
      <c r="S4" s="17" t="s">
        <v>1067</v>
      </c>
    </row>
    <row r="5" customFormat="false" ht="15" hidden="false" customHeight="false" outlineLevel="0" collapsed="false">
      <c r="A5" s="105" t="s">
        <v>1068</v>
      </c>
      <c r="F5" s="106" t="n">
        <v>1</v>
      </c>
      <c r="G5" s="106" t="n">
        <v>2</v>
      </c>
      <c r="H5" s="106" t="n">
        <v>3</v>
      </c>
      <c r="I5" s="106" t="n">
        <v>4</v>
      </c>
      <c r="J5" s="106" t="n">
        <v>5</v>
      </c>
      <c r="K5" s="106" t="n">
        <v>6</v>
      </c>
      <c r="L5" s="106" t="n">
        <v>7</v>
      </c>
      <c r="M5" s="106" t="n">
        <v>8</v>
      </c>
      <c r="N5" s="106" t="n">
        <v>9</v>
      </c>
      <c r="O5" s="106" t="n">
        <v>10</v>
      </c>
      <c r="P5" s="106" t="n">
        <v>11</v>
      </c>
      <c r="Q5" s="106" t="n">
        <v>12</v>
      </c>
      <c r="R5" s="106" t="n">
        <v>13</v>
      </c>
      <c r="S5" s="106" t="n">
        <v>14</v>
      </c>
    </row>
    <row r="6" customFormat="false" ht="15" hidden="false" customHeight="false" outlineLevel="0" collapsed="false">
      <c r="A6" s="10" t="s">
        <v>1069</v>
      </c>
      <c r="B6" s="89" t="n">
        <v>1</v>
      </c>
      <c r="C6" s="89" t="n">
        <v>14</v>
      </c>
      <c r="D6" s="10" t="s">
        <v>1070</v>
      </c>
      <c r="E6" s="10" t="s">
        <v>1071</v>
      </c>
      <c r="F6" s="107" t="n">
        <f aca="false">IF(AND(F$5&gt;=$B6,F$5&lt;=$C6),1,0)</f>
        <v>1</v>
      </c>
      <c r="G6" s="107" t="n">
        <f aca="false">IF(AND(G$5&gt;=$B6,G$5&lt;=$C6),1,0)</f>
        <v>1</v>
      </c>
      <c r="H6" s="107" t="n">
        <f aca="false">IF(AND(H$5&gt;=$B6,H$5&lt;=$C6),1,0)</f>
        <v>1</v>
      </c>
      <c r="I6" s="107" t="n">
        <f aca="false">IF(AND(I$5&gt;=$B6,I$5&lt;=$C6),1,0)</f>
        <v>1</v>
      </c>
      <c r="J6" s="107" t="n">
        <f aca="false">IF(AND(J$5&gt;=$B6,J$5&lt;=$C6),1,0)</f>
        <v>1</v>
      </c>
      <c r="K6" s="107" t="n">
        <f aca="false">IF(AND(K$5&gt;=$B6,K$5&lt;=$C6),1,0)</f>
        <v>1</v>
      </c>
      <c r="L6" s="107" t="n">
        <f aca="false">IF(AND(L$5&gt;=$B6,L$5&lt;=$C6),1,0)</f>
        <v>1</v>
      </c>
      <c r="M6" s="107" t="n">
        <f aca="false">IF(AND(M$5&gt;=$B6,M$5&lt;=$C6),1,0)</f>
        <v>1</v>
      </c>
      <c r="N6" s="107" t="n">
        <f aca="false">IF(AND(N$5&gt;=$B6,N$5&lt;=$C6),1,0)</f>
        <v>1</v>
      </c>
      <c r="O6" s="107" t="n">
        <f aca="false">IF(AND(O$5&gt;=$B6,O$5&lt;=$C6),1,0)</f>
        <v>1</v>
      </c>
      <c r="P6" s="107" t="n">
        <f aca="false">IF(AND(P$5&gt;=$B6,P$5&lt;=$C6),1,0)</f>
        <v>1</v>
      </c>
      <c r="Q6" s="107" t="n">
        <f aca="false">IF(AND(Q$5&gt;=$B6,Q$5&lt;=$C6),1,0)</f>
        <v>1</v>
      </c>
      <c r="R6" s="107" t="n">
        <f aca="false">IF(AND(R$5&gt;=$B6,R$5&lt;=$C6),1,0)</f>
        <v>1</v>
      </c>
      <c r="S6" s="107" t="n">
        <f aca="false">IF(AND(S$5&gt;=$B6,S$5&lt;=$C6),1,0)</f>
        <v>1</v>
      </c>
    </row>
    <row r="7" customFormat="false" ht="15" hidden="false" customHeight="false" outlineLevel="0" collapsed="false">
      <c r="A7" s="10" t="s">
        <v>1072</v>
      </c>
      <c r="B7" s="89" t="n">
        <v>1</v>
      </c>
      <c r="C7" s="89" t="n">
        <v>2</v>
      </c>
      <c r="D7" s="10" t="s">
        <v>935</v>
      </c>
      <c r="E7" s="10" t="s">
        <v>1073</v>
      </c>
      <c r="F7" s="107" t="n">
        <f aca="false">IF(AND(F$5&gt;=$B7,F$5&lt;=$C7),1,0)</f>
        <v>1</v>
      </c>
      <c r="G7" s="107" t="n">
        <f aca="false">IF(AND(G$5&gt;=$B7,G$5&lt;=$C7),1,0)</f>
        <v>1</v>
      </c>
      <c r="H7" s="107" t="n">
        <f aca="false">IF(AND(H$5&gt;=$B7,H$5&lt;=$C7),1,0)</f>
        <v>0</v>
      </c>
      <c r="I7" s="107" t="n">
        <f aca="false">IF(AND(I$5&gt;=$B7,I$5&lt;=$C7),1,0)</f>
        <v>0</v>
      </c>
      <c r="J7" s="107" t="n">
        <f aca="false">IF(AND(J$5&gt;=$B7,J$5&lt;=$C7),1,0)</f>
        <v>0</v>
      </c>
      <c r="K7" s="107" t="n">
        <f aca="false">IF(AND(K$5&gt;=$B7,K$5&lt;=$C7),1,0)</f>
        <v>0</v>
      </c>
      <c r="L7" s="107" t="n">
        <f aca="false">IF(AND(L$5&gt;=$B7,L$5&lt;=$C7),1,0)</f>
        <v>0</v>
      </c>
      <c r="M7" s="107" t="n">
        <f aca="false">IF(AND(M$5&gt;=$B7,M$5&lt;=$C7),1,0)</f>
        <v>0</v>
      </c>
      <c r="N7" s="107" t="n">
        <f aca="false">IF(AND(N$5&gt;=$B7,N$5&lt;=$C7),1,0)</f>
        <v>0</v>
      </c>
      <c r="O7" s="107" t="n">
        <f aca="false">IF(AND(O$5&gt;=$B7,O$5&lt;=$C7),1,0)</f>
        <v>0</v>
      </c>
      <c r="P7" s="107" t="n">
        <f aca="false">IF(AND(P$5&gt;=$B7,P$5&lt;=$C7),1,0)</f>
        <v>0</v>
      </c>
      <c r="Q7" s="107" t="n">
        <f aca="false">IF(AND(Q$5&gt;=$B7,Q$5&lt;=$C7),1,0)</f>
        <v>0</v>
      </c>
      <c r="R7" s="107" t="n">
        <f aca="false">IF(AND(R$5&gt;=$B7,R$5&lt;=$C7),1,0)</f>
        <v>0</v>
      </c>
      <c r="S7" s="107" t="n">
        <f aca="false">IF(AND(S$5&gt;=$B7,S$5&lt;=$C7),1,0)</f>
        <v>0</v>
      </c>
    </row>
    <row r="8" customFormat="false" ht="15" hidden="false" customHeight="false" outlineLevel="0" collapsed="false">
      <c r="A8" s="10" t="s">
        <v>1074</v>
      </c>
      <c r="B8" s="89" t="n">
        <v>1</v>
      </c>
      <c r="C8" s="89" t="n">
        <v>4</v>
      </c>
      <c r="D8" s="10" t="s">
        <v>294</v>
      </c>
      <c r="E8" s="10" t="s">
        <v>1075</v>
      </c>
      <c r="F8" s="107" t="n">
        <f aca="false">IF(AND(F$5&gt;=$B8,F$5&lt;=$C8),1,0)</f>
        <v>1</v>
      </c>
      <c r="G8" s="107" t="n">
        <f aca="false">IF(AND(G$5&gt;=$B8,G$5&lt;=$C8),1,0)</f>
        <v>1</v>
      </c>
      <c r="H8" s="107" t="n">
        <f aca="false">IF(AND(H$5&gt;=$B8,H$5&lt;=$C8),1,0)</f>
        <v>1</v>
      </c>
      <c r="I8" s="107" t="n">
        <f aca="false">IF(AND(I$5&gt;=$B8,I$5&lt;=$C8),1,0)</f>
        <v>1</v>
      </c>
      <c r="J8" s="107" t="n">
        <f aca="false">IF(AND(J$5&gt;=$B8,J$5&lt;=$C8),1,0)</f>
        <v>0</v>
      </c>
      <c r="K8" s="107" t="n">
        <f aca="false">IF(AND(K$5&gt;=$B8,K$5&lt;=$C8),1,0)</f>
        <v>0</v>
      </c>
      <c r="L8" s="107" t="n">
        <f aca="false">IF(AND(L$5&gt;=$B8,L$5&lt;=$C8),1,0)</f>
        <v>0</v>
      </c>
      <c r="M8" s="107" t="n">
        <f aca="false">IF(AND(M$5&gt;=$B8,M$5&lt;=$C8),1,0)</f>
        <v>0</v>
      </c>
      <c r="N8" s="107" t="n">
        <f aca="false">IF(AND(N$5&gt;=$B8,N$5&lt;=$C8),1,0)</f>
        <v>0</v>
      </c>
      <c r="O8" s="107" t="n">
        <f aca="false">IF(AND(O$5&gt;=$B8,O$5&lt;=$C8),1,0)</f>
        <v>0</v>
      </c>
      <c r="P8" s="107" t="n">
        <f aca="false">IF(AND(P$5&gt;=$B8,P$5&lt;=$C8),1,0)</f>
        <v>0</v>
      </c>
      <c r="Q8" s="107" t="n">
        <f aca="false">IF(AND(Q$5&gt;=$B8,Q$5&lt;=$C8),1,0)</f>
        <v>0</v>
      </c>
      <c r="R8" s="107" t="n">
        <f aca="false">IF(AND(R$5&gt;=$B8,R$5&lt;=$C8),1,0)</f>
        <v>0</v>
      </c>
      <c r="S8" s="107" t="n">
        <f aca="false">IF(AND(S$5&gt;=$B8,S$5&lt;=$C8),1,0)</f>
        <v>0</v>
      </c>
    </row>
    <row r="9" customFormat="false" ht="15" hidden="false" customHeight="false" outlineLevel="0" collapsed="false">
      <c r="A9" s="10" t="s">
        <v>1076</v>
      </c>
      <c r="B9" s="89" t="n">
        <v>1</v>
      </c>
      <c r="C9" s="89" t="n">
        <v>3</v>
      </c>
      <c r="D9" s="10" t="s">
        <v>922</v>
      </c>
      <c r="E9" s="10" t="s">
        <v>1077</v>
      </c>
      <c r="F9" s="107" t="n">
        <f aca="false">IF(AND(F$5&gt;=$B9,F$5&lt;=$C9),1,0)</f>
        <v>1</v>
      </c>
      <c r="G9" s="107" t="n">
        <f aca="false">IF(AND(G$5&gt;=$B9,G$5&lt;=$C9),1,0)</f>
        <v>1</v>
      </c>
      <c r="H9" s="107" t="n">
        <f aca="false">IF(AND(H$5&gt;=$B9,H$5&lt;=$C9),1,0)</f>
        <v>1</v>
      </c>
      <c r="I9" s="107" t="n">
        <f aca="false">IF(AND(I$5&gt;=$B9,I$5&lt;=$C9),1,0)</f>
        <v>0</v>
      </c>
      <c r="J9" s="107" t="n">
        <f aca="false">IF(AND(J$5&gt;=$B9,J$5&lt;=$C9),1,0)</f>
        <v>0</v>
      </c>
      <c r="K9" s="107" t="n">
        <f aca="false">IF(AND(K$5&gt;=$B9,K$5&lt;=$C9),1,0)</f>
        <v>0</v>
      </c>
      <c r="L9" s="107" t="n">
        <f aca="false">IF(AND(L$5&gt;=$B9,L$5&lt;=$C9),1,0)</f>
        <v>0</v>
      </c>
      <c r="M9" s="107" t="n">
        <f aca="false">IF(AND(M$5&gt;=$B9,M$5&lt;=$C9),1,0)</f>
        <v>0</v>
      </c>
      <c r="N9" s="107" t="n">
        <f aca="false">IF(AND(N$5&gt;=$B9,N$5&lt;=$C9),1,0)</f>
        <v>0</v>
      </c>
      <c r="O9" s="107" t="n">
        <f aca="false">IF(AND(O$5&gt;=$B9,O$5&lt;=$C9),1,0)</f>
        <v>0</v>
      </c>
      <c r="P9" s="107" t="n">
        <f aca="false">IF(AND(P$5&gt;=$B9,P$5&lt;=$C9),1,0)</f>
        <v>0</v>
      </c>
      <c r="Q9" s="107" t="n">
        <f aca="false">IF(AND(Q$5&gt;=$B9,Q$5&lt;=$C9),1,0)</f>
        <v>0</v>
      </c>
      <c r="R9" s="107" t="n">
        <f aca="false">IF(AND(R$5&gt;=$B9,R$5&lt;=$C9),1,0)</f>
        <v>0</v>
      </c>
      <c r="S9" s="107" t="n">
        <f aca="false">IF(AND(S$5&gt;=$B9,S$5&lt;=$C9),1,0)</f>
        <v>0</v>
      </c>
    </row>
    <row r="10" customFormat="false" ht="15" hidden="false" customHeight="false" outlineLevel="0" collapsed="false">
      <c r="A10" s="10" t="s">
        <v>1078</v>
      </c>
      <c r="B10" s="89" t="n">
        <v>4</v>
      </c>
      <c r="C10" s="89" t="n">
        <v>9</v>
      </c>
      <c r="D10" s="10" t="s">
        <v>922</v>
      </c>
      <c r="E10" s="10" t="s">
        <v>1079</v>
      </c>
      <c r="F10" s="107" t="n">
        <f aca="false">IF(AND(F$5&gt;=$B10,F$5&lt;=$C10),1,0)</f>
        <v>0</v>
      </c>
      <c r="G10" s="107" t="n">
        <f aca="false">IF(AND(G$5&gt;=$B10,G$5&lt;=$C10),1,0)</f>
        <v>0</v>
      </c>
      <c r="H10" s="107" t="n">
        <f aca="false">IF(AND(H$5&gt;=$B10,H$5&lt;=$C10),1,0)</f>
        <v>0</v>
      </c>
      <c r="I10" s="107" t="n">
        <f aca="false">IF(AND(I$5&gt;=$B10,I$5&lt;=$C10),1,0)</f>
        <v>1</v>
      </c>
      <c r="J10" s="107" t="n">
        <f aca="false">IF(AND(J$5&gt;=$B10,J$5&lt;=$C10),1,0)</f>
        <v>1</v>
      </c>
      <c r="K10" s="107" t="n">
        <f aca="false">IF(AND(K$5&gt;=$B10,K$5&lt;=$C10),1,0)</f>
        <v>1</v>
      </c>
      <c r="L10" s="107" t="n">
        <f aca="false">IF(AND(L$5&gt;=$B10,L$5&lt;=$C10),1,0)</f>
        <v>1</v>
      </c>
      <c r="M10" s="107" t="n">
        <f aca="false">IF(AND(M$5&gt;=$B10,M$5&lt;=$C10),1,0)</f>
        <v>1</v>
      </c>
      <c r="N10" s="107" t="n">
        <f aca="false">IF(AND(N$5&gt;=$B10,N$5&lt;=$C10),1,0)</f>
        <v>1</v>
      </c>
      <c r="O10" s="107" t="n">
        <f aca="false">IF(AND(O$5&gt;=$B10,O$5&lt;=$C10),1,0)</f>
        <v>0</v>
      </c>
      <c r="P10" s="107" t="n">
        <f aca="false">IF(AND(P$5&gt;=$B10,P$5&lt;=$C10),1,0)</f>
        <v>0</v>
      </c>
      <c r="Q10" s="107" t="n">
        <f aca="false">IF(AND(Q$5&gt;=$B10,Q$5&lt;=$C10),1,0)</f>
        <v>0</v>
      </c>
      <c r="R10" s="107" t="n">
        <f aca="false">IF(AND(R$5&gt;=$B10,R$5&lt;=$C10),1,0)</f>
        <v>0</v>
      </c>
      <c r="S10" s="107" t="n">
        <f aca="false">IF(AND(S$5&gt;=$B10,S$5&lt;=$C10),1,0)</f>
        <v>0</v>
      </c>
    </row>
    <row r="11" customFormat="false" ht="15" hidden="false" customHeight="false" outlineLevel="0" collapsed="false">
      <c r="A11" s="10" t="s">
        <v>1080</v>
      </c>
      <c r="B11" s="89" t="n">
        <v>1</v>
      </c>
      <c r="C11" s="89" t="n">
        <v>4</v>
      </c>
      <c r="D11" s="10" t="s">
        <v>1081</v>
      </c>
      <c r="E11" s="10" t="s">
        <v>1082</v>
      </c>
      <c r="F11" s="107" t="n">
        <f aca="false">IF(AND(F$5&gt;=$B11,F$5&lt;=$C11),1,0)</f>
        <v>1</v>
      </c>
      <c r="G11" s="107" t="n">
        <f aca="false">IF(AND(G$5&gt;=$B11,G$5&lt;=$C11),1,0)</f>
        <v>1</v>
      </c>
      <c r="H11" s="107" t="n">
        <f aca="false">IF(AND(H$5&gt;=$B11,H$5&lt;=$C11),1,0)</f>
        <v>1</v>
      </c>
      <c r="I11" s="107" t="n">
        <f aca="false">IF(AND(I$5&gt;=$B11,I$5&lt;=$C11),1,0)</f>
        <v>1</v>
      </c>
      <c r="J11" s="107" t="n">
        <f aca="false">IF(AND(J$5&gt;=$B11,J$5&lt;=$C11),1,0)</f>
        <v>0</v>
      </c>
      <c r="K11" s="107" t="n">
        <f aca="false">IF(AND(K$5&gt;=$B11,K$5&lt;=$C11),1,0)</f>
        <v>0</v>
      </c>
      <c r="L11" s="107" t="n">
        <f aca="false">IF(AND(L$5&gt;=$B11,L$5&lt;=$C11),1,0)</f>
        <v>0</v>
      </c>
      <c r="M11" s="107" t="n">
        <f aca="false">IF(AND(M$5&gt;=$B11,M$5&lt;=$C11),1,0)</f>
        <v>0</v>
      </c>
      <c r="N11" s="107" t="n">
        <f aca="false">IF(AND(N$5&gt;=$B11,N$5&lt;=$C11),1,0)</f>
        <v>0</v>
      </c>
      <c r="O11" s="107" t="n">
        <f aca="false">IF(AND(O$5&gt;=$B11,O$5&lt;=$C11),1,0)</f>
        <v>0</v>
      </c>
      <c r="P11" s="107" t="n">
        <f aca="false">IF(AND(P$5&gt;=$B11,P$5&lt;=$C11),1,0)</f>
        <v>0</v>
      </c>
      <c r="Q11" s="107" t="n">
        <f aca="false">IF(AND(Q$5&gt;=$B11,Q$5&lt;=$C11),1,0)</f>
        <v>0</v>
      </c>
      <c r="R11" s="107" t="n">
        <f aca="false">IF(AND(R$5&gt;=$B11,R$5&lt;=$C11),1,0)</f>
        <v>0</v>
      </c>
      <c r="S11" s="107" t="n">
        <f aca="false">IF(AND(S$5&gt;=$B11,S$5&lt;=$C11),1,0)</f>
        <v>0</v>
      </c>
    </row>
    <row r="12" customFormat="false" ht="15" hidden="false" customHeight="false" outlineLevel="0" collapsed="false">
      <c r="A12" s="10" t="s">
        <v>1083</v>
      </c>
      <c r="B12" s="89" t="n">
        <v>1</v>
      </c>
      <c r="C12" s="89" t="n">
        <v>3</v>
      </c>
      <c r="D12" s="10" t="s">
        <v>905</v>
      </c>
      <c r="E12" s="10" t="s">
        <v>1084</v>
      </c>
      <c r="F12" s="107" t="n">
        <f aca="false">IF(AND(F$5&gt;=$B12,F$5&lt;=$C12),1,0)</f>
        <v>1</v>
      </c>
      <c r="G12" s="107" t="n">
        <f aca="false">IF(AND(G$5&gt;=$B12,G$5&lt;=$C12),1,0)</f>
        <v>1</v>
      </c>
      <c r="H12" s="107" t="n">
        <f aca="false">IF(AND(H$5&gt;=$B12,H$5&lt;=$C12),1,0)</f>
        <v>1</v>
      </c>
      <c r="I12" s="107" t="n">
        <f aca="false">IF(AND(I$5&gt;=$B12,I$5&lt;=$C12),1,0)</f>
        <v>0</v>
      </c>
      <c r="J12" s="107" t="n">
        <f aca="false">IF(AND(J$5&gt;=$B12,J$5&lt;=$C12),1,0)</f>
        <v>0</v>
      </c>
      <c r="K12" s="107" t="n">
        <f aca="false">IF(AND(K$5&gt;=$B12,K$5&lt;=$C12),1,0)</f>
        <v>0</v>
      </c>
      <c r="L12" s="107" t="n">
        <f aca="false">IF(AND(L$5&gt;=$B12,L$5&lt;=$C12),1,0)</f>
        <v>0</v>
      </c>
      <c r="M12" s="107" t="n">
        <f aca="false">IF(AND(M$5&gt;=$B12,M$5&lt;=$C12),1,0)</f>
        <v>0</v>
      </c>
      <c r="N12" s="107" t="n">
        <f aca="false">IF(AND(N$5&gt;=$B12,N$5&lt;=$C12),1,0)</f>
        <v>0</v>
      </c>
      <c r="O12" s="107" t="n">
        <f aca="false">IF(AND(O$5&gt;=$B12,O$5&lt;=$C12),1,0)</f>
        <v>0</v>
      </c>
      <c r="P12" s="107" t="n">
        <f aca="false">IF(AND(P$5&gt;=$B12,P$5&lt;=$C12),1,0)</f>
        <v>0</v>
      </c>
      <c r="Q12" s="107" t="n">
        <f aca="false">IF(AND(Q$5&gt;=$B12,Q$5&lt;=$C12),1,0)</f>
        <v>0</v>
      </c>
      <c r="R12" s="107" t="n">
        <f aca="false">IF(AND(R$5&gt;=$B12,R$5&lt;=$C12),1,0)</f>
        <v>0</v>
      </c>
      <c r="S12" s="107" t="n">
        <f aca="false">IF(AND(S$5&gt;=$B12,S$5&lt;=$C12),1,0)</f>
        <v>0</v>
      </c>
    </row>
    <row r="13" customFormat="false" ht="15" hidden="false" customHeight="false" outlineLevel="0" collapsed="false">
      <c r="A13" s="10" t="s">
        <v>1085</v>
      </c>
      <c r="B13" s="89" t="n">
        <v>3</v>
      </c>
      <c r="C13" s="89" t="n">
        <v>10</v>
      </c>
      <c r="D13" s="10" t="s">
        <v>905</v>
      </c>
      <c r="E13" s="10" t="s">
        <v>1086</v>
      </c>
      <c r="F13" s="107" t="n">
        <f aca="false">IF(AND(F$5&gt;=$B13,F$5&lt;=$C13),1,0)</f>
        <v>0</v>
      </c>
      <c r="G13" s="107" t="n">
        <f aca="false">IF(AND(G$5&gt;=$B13,G$5&lt;=$C13),1,0)</f>
        <v>0</v>
      </c>
      <c r="H13" s="107" t="n">
        <f aca="false">IF(AND(H$5&gt;=$B13,H$5&lt;=$C13),1,0)</f>
        <v>1</v>
      </c>
      <c r="I13" s="107" t="n">
        <f aca="false">IF(AND(I$5&gt;=$B13,I$5&lt;=$C13),1,0)</f>
        <v>1</v>
      </c>
      <c r="J13" s="107" t="n">
        <f aca="false">IF(AND(J$5&gt;=$B13,J$5&lt;=$C13),1,0)</f>
        <v>1</v>
      </c>
      <c r="K13" s="107" t="n">
        <f aca="false">IF(AND(K$5&gt;=$B13,K$5&lt;=$C13),1,0)</f>
        <v>1</v>
      </c>
      <c r="L13" s="107" t="n">
        <f aca="false">IF(AND(L$5&gt;=$B13,L$5&lt;=$C13),1,0)</f>
        <v>1</v>
      </c>
      <c r="M13" s="107" t="n">
        <f aca="false">IF(AND(M$5&gt;=$B13,M$5&lt;=$C13),1,0)</f>
        <v>1</v>
      </c>
      <c r="N13" s="107" t="n">
        <f aca="false">IF(AND(N$5&gt;=$B13,N$5&lt;=$C13),1,0)</f>
        <v>1</v>
      </c>
      <c r="O13" s="107" t="n">
        <f aca="false">IF(AND(O$5&gt;=$B13,O$5&lt;=$C13),1,0)</f>
        <v>1</v>
      </c>
      <c r="P13" s="107" t="n">
        <f aca="false">IF(AND(P$5&gt;=$B13,P$5&lt;=$C13),1,0)</f>
        <v>0</v>
      </c>
      <c r="Q13" s="107" t="n">
        <f aca="false">IF(AND(Q$5&gt;=$B13,Q$5&lt;=$C13),1,0)</f>
        <v>0</v>
      </c>
      <c r="R13" s="107" t="n">
        <f aca="false">IF(AND(R$5&gt;=$B13,R$5&lt;=$C13),1,0)</f>
        <v>0</v>
      </c>
      <c r="S13" s="107" t="n">
        <f aca="false">IF(AND(S$5&gt;=$B13,S$5&lt;=$C13),1,0)</f>
        <v>0</v>
      </c>
    </row>
    <row r="14" customFormat="false" ht="15" hidden="false" customHeight="false" outlineLevel="0" collapsed="false">
      <c r="A14" s="10" t="s">
        <v>1087</v>
      </c>
      <c r="B14" s="89" t="n">
        <v>2</v>
      </c>
      <c r="C14" s="89" t="n">
        <v>6</v>
      </c>
      <c r="D14" s="10" t="s">
        <v>294</v>
      </c>
      <c r="E14" s="10" t="s">
        <v>1088</v>
      </c>
      <c r="F14" s="107" t="n">
        <f aca="false">IF(AND(F$5&gt;=$B14,F$5&lt;=$C14),1,0)</f>
        <v>0</v>
      </c>
      <c r="G14" s="107" t="n">
        <f aca="false">IF(AND(G$5&gt;=$B14,G$5&lt;=$C14),1,0)</f>
        <v>1</v>
      </c>
      <c r="H14" s="107" t="n">
        <f aca="false">IF(AND(H$5&gt;=$B14,H$5&lt;=$C14),1,0)</f>
        <v>1</v>
      </c>
      <c r="I14" s="107" t="n">
        <f aca="false">IF(AND(I$5&gt;=$B14,I$5&lt;=$C14),1,0)</f>
        <v>1</v>
      </c>
      <c r="J14" s="107" t="n">
        <f aca="false">IF(AND(J$5&gt;=$B14,J$5&lt;=$C14),1,0)</f>
        <v>1</v>
      </c>
      <c r="K14" s="107" t="n">
        <f aca="false">IF(AND(K$5&gt;=$B14,K$5&lt;=$C14),1,0)</f>
        <v>1</v>
      </c>
      <c r="L14" s="107" t="n">
        <f aca="false">IF(AND(L$5&gt;=$B14,L$5&lt;=$C14),1,0)</f>
        <v>0</v>
      </c>
      <c r="M14" s="107" t="n">
        <f aca="false">IF(AND(M$5&gt;=$B14,M$5&lt;=$C14),1,0)</f>
        <v>0</v>
      </c>
      <c r="N14" s="107" t="n">
        <f aca="false">IF(AND(N$5&gt;=$B14,N$5&lt;=$C14),1,0)</f>
        <v>0</v>
      </c>
      <c r="O14" s="107" t="n">
        <f aca="false">IF(AND(O$5&gt;=$B14,O$5&lt;=$C14),1,0)</f>
        <v>0</v>
      </c>
      <c r="P14" s="107" t="n">
        <f aca="false">IF(AND(P$5&gt;=$B14,P$5&lt;=$C14),1,0)</f>
        <v>0</v>
      </c>
      <c r="Q14" s="107" t="n">
        <f aca="false">IF(AND(Q$5&gt;=$B14,Q$5&lt;=$C14),1,0)</f>
        <v>0</v>
      </c>
      <c r="R14" s="107" t="n">
        <f aca="false">IF(AND(R$5&gt;=$B14,R$5&lt;=$C14),1,0)</f>
        <v>0</v>
      </c>
      <c r="S14" s="107" t="n">
        <f aca="false">IF(AND(S$5&gt;=$B14,S$5&lt;=$C14),1,0)</f>
        <v>0</v>
      </c>
    </row>
    <row r="15" customFormat="false" ht="15" hidden="false" customHeight="false" outlineLevel="0" collapsed="false">
      <c r="A15" s="10" t="s">
        <v>1089</v>
      </c>
      <c r="B15" s="89" t="n">
        <v>3</v>
      </c>
      <c r="C15" s="89" t="n">
        <v>14</v>
      </c>
      <c r="D15" s="10" t="s">
        <v>911</v>
      </c>
      <c r="E15" s="10" t="s">
        <v>1090</v>
      </c>
      <c r="F15" s="107" t="n">
        <f aca="false">IF(AND(F$5&gt;=$B15,F$5&lt;=$C15),1,0)</f>
        <v>0</v>
      </c>
      <c r="G15" s="107" t="n">
        <f aca="false">IF(AND(G$5&gt;=$B15,G$5&lt;=$C15),1,0)</f>
        <v>0</v>
      </c>
      <c r="H15" s="107" t="n">
        <f aca="false">IF(AND(H$5&gt;=$B15,H$5&lt;=$C15),1,0)</f>
        <v>1</v>
      </c>
      <c r="I15" s="107" t="n">
        <f aca="false">IF(AND(I$5&gt;=$B15,I$5&lt;=$C15),1,0)</f>
        <v>1</v>
      </c>
      <c r="J15" s="107" t="n">
        <f aca="false">IF(AND(J$5&gt;=$B15,J$5&lt;=$C15),1,0)</f>
        <v>1</v>
      </c>
      <c r="K15" s="107" t="n">
        <f aca="false">IF(AND(K$5&gt;=$B15,K$5&lt;=$C15),1,0)</f>
        <v>1</v>
      </c>
      <c r="L15" s="107" t="n">
        <f aca="false">IF(AND(L$5&gt;=$B15,L$5&lt;=$C15),1,0)</f>
        <v>1</v>
      </c>
      <c r="M15" s="107" t="n">
        <f aca="false">IF(AND(M$5&gt;=$B15,M$5&lt;=$C15),1,0)</f>
        <v>1</v>
      </c>
      <c r="N15" s="107" t="n">
        <f aca="false">IF(AND(N$5&gt;=$B15,N$5&lt;=$C15),1,0)</f>
        <v>1</v>
      </c>
      <c r="O15" s="107" t="n">
        <f aca="false">IF(AND(O$5&gt;=$B15,O$5&lt;=$C15),1,0)</f>
        <v>1</v>
      </c>
      <c r="P15" s="107" t="n">
        <f aca="false">IF(AND(P$5&gt;=$B15,P$5&lt;=$C15),1,0)</f>
        <v>1</v>
      </c>
      <c r="Q15" s="107" t="n">
        <f aca="false">IF(AND(Q$5&gt;=$B15,Q$5&lt;=$C15),1,0)</f>
        <v>1</v>
      </c>
      <c r="R15" s="107" t="n">
        <f aca="false">IF(AND(R$5&gt;=$B15,R$5&lt;=$C15),1,0)</f>
        <v>1</v>
      </c>
      <c r="S15" s="107" t="n">
        <f aca="false">IF(AND(S$5&gt;=$B15,S$5&lt;=$C15),1,0)</f>
        <v>1</v>
      </c>
    </row>
    <row r="16" customFormat="false" ht="15" hidden="false" customHeight="false" outlineLevel="0" collapsed="false">
      <c r="A16" s="10" t="s">
        <v>1091</v>
      </c>
      <c r="B16" s="89" t="n">
        <v>3</v>
      </c>
      <c r="C16" s="89" t="n">
        <v>14</v>
      </c>
      <c r="D16" s="10" t="s">
        <v>928</v>
      </c>
      <c r="E16" s="10" t="s">
        <v>1092</v>
      </c>
      <c r="F16" s="107" t="n">
        <f aca="false">IF(AND(F$5&gt;=$B16,F$5&lt;=$C16),1,0)</f>
        <v>0</v>
      </c>
      <c r="G16" s="107" t="n">
        <f aca="false">IF(AND(G$5&gt;=$B16,G$5&lt;=$C16),1,0)</f>
        <v>0</v>
      </c>
      <c r="H16" s="107" t="n">
        <f aca="false">IF(AND(H$5&gt;=$B16,H$5&lt;=$C16),1,0)</f>
        <v>1</v>
      </c>
      <c r="I16" s="107" t="n">
        <f aca="false">IF(AND(I$5&gt;=$B16,I$5&lt;=$C16),1,0)</f>
        <v>1</v>
      </c>
      <c r="J16" s="107" t="n">
        <f aca="false">IF(AND(J$5&gt;=$B16,J$5&lt;=$C16),1,0)</f>
        <v>1</v>
      </c>
      <c r="K16" s="107" t="n">
        <f aca="false">IF(AND(K$5&gt;=$B16,K$5&lt;=$C16),1,0)</f>
        <v>1</v>
      </c>
      <c r="L16" s="107" t="n">
        <f aca="false">IF(AND(L$5&gt;=$B16,L$5&lt;=$C16),1,0)</f>
        <v>1</v>
      </c>
      <c r="M16" s="107" t="n">
        <f aca="false">IF(AND(M$5&gt;=$B16,M$5&lt;=$C16),1,0)</f>
        <v>1</v>
      </c>
      <c r="N16" s="107" t="n">
        <f aca="false">IF(AND(N$5&gt;=$B16,N$5&lt;=$C16),1,0)</f>
        <v>1</v>
      </c>
      <c r="O16" s="107" t="n">
        <f aca="false">IF(AND(O$5&gt;=$B16,O$5&lt;=$C16),1,0)</f>
        <v>1</v>
      </c>
      <c r="P16" s="107" t="n">
        <f aca="false">IF(AND(P$5&gt;=$B16,P$5&lt;=$C16),1,0)</f>
        <v>1</v>
      </c>
      <c r="Q16" s="107" t="n">
        <f aca="false">IF(AND(Q$5&gt;=$B16,Q$5&lt;=$C16),1,0)</f>
        <v>1</v>
      </c>
      <c r="R16" s="107" t="n">
        <f aca="false">IF(AND(R$5&gt;=$B16,R$5&lt;=$C16),1,0)</f>
        <v>1</v>
      </c>
      <c r="S16" s="107" t="n">
        <f aca="false">IF(AND(S$5&gt;=$B16,S$5&lt;=$C16),1,0)</f>
        <v>1</v>
      </c>
    </row>
    <row r="17" customFormat="false" ht="15" hidden="false" customHeight="false" outlineLevel="0" collapsed="false">
      <c r="A17" s="10" t="s">
        <v>1093</v>
      </c>
      <c r="B17" s="89" t="n">
        <v>11</v>
      </c>
      <c r="C17" s="89" t="n">
        <v>14</v>
      </c>
      <c r="D17" s="10" t="s">
        <v>294</v>
      </c>
      <c r="E17" s="10" t="s">
        <v>1094</v>
      </c>
      <c r="F17" s="107" t="n">
        <f aca="false">IF(AND(F$5&gt;=$B17,F$5&lt;=$C17),1,0)</f>
        <v>0</v>
      </c>
      <c r="G17" s="107" t="n">
        <f aca="false">IF(AND(G$5&gt;=$B17,G$5&lt;=$C17),1,0)</f>
        <v>0</v>
      </c>
      <c r="H17" s="107" t="n">
        <f aca="false">IF(AND(H$5&gt;=$B17,H$5&lt;=$C17),1,0)</f>
        <v>0</v>
      </c>
      <c r="I17" s="107" t="n">
        <f aca="false">IF(AND(I$5&gt;=$B17,I$5&lt;=$C17),1,0)</f>
        <v>0</v>
      </c>
      <c r="J17" s="107" t="n">
        <f aca="false">IF(AND(J$5&gt;=$B17,J$5&lt;=$C17),1,0)</f>
        <v>0</v>
      </c>
      <c r="K17" s="107" t="n">
        <f aca="false">IF(AND(K$5&gt;=$B17,K$5&lt;=$C17),1,0)</f>
        <v>0</v>
      </c>
      <c r="L17" s="107" t="n">
        <f aca="false">IF(AND(L$5&gt;=$B17,L$5&lt;=$C17),1,0)</f>
        <v>0</v>
      </c>
      <c r="M17" s="107" t="n">
        <f aca="false">IF(AND(M$5&gt;=$B17,M$5&lt;=$C17),1,0)</f>
        <v>0</v>
      </c>
      <c r="N17" s="107" t="n">
        <f aca="false">IF(AND(N$5&gt;=$B17,N$5&lt;=$C17),1,0)</f>
        <v>0</v>
      </c>
      <c r="O17" s="107" t="n">
        <f aca="false">IF(AND(O$5&gt;=$B17,O$5&lt;=$C17),1,0)</f>
        <v>0</v>
      </c>
      <c r="P17" s="107" t="n">
        <f aca="false">IF(AND(P$5&gt;=$B17,P$5&lt;=$C17),1,0)</f>
        <v>1</v>
      </c>
      <c r="Q17" s="107" t="n">
        <f aca="false">IF(AND(Q$5&gt;=$B17,Q$5&lt;=$C17),1,0)</f>
        <v>1</v>
      </c>
      <c r="R17" s="107" t="n">
        <f aca="false">IF(AND(R$5&gt;=$B17,R$5&lt;=$C17),1,0)</f>
        <v>1</v>
      </c>
      <c r="S17" s="107" t="n">
        <f aca="false">IF(AND(S$5&gt;=$B17,S$5&lt;=$C17),1,0)</f>
        <v>1</v>
      </c>
    </row>
    <row r="18" customFormat="false" ht="15" hidden="false" customHeight="false" outlineLevel="0" collapsed="false">
      <c r="A18" s="10" t="s">
        <v>1095</v>
      </c>
      <c r="B18" s="89" t="n">
        <v>12</v>
      </c>
      <c r="C18" s="89" t="n">
        <v>14</v>
      </c>
      <c r="D18" s="10" t="s">
        <v>1031</v>
      </c>
      <c r="E18" s="10" t="s">
        <v>1096</v>
      </c>
      <c r="F18" s="107" t="n">
        <f aca="false">IF(AND(F$5&gt;=$B18,F$5&lt;=$C18),1,0)</f>
        <v>0</v>
      </c>
      <c r="G18" s="107" t="n">
        <f aca="false">IF(AND(G$5&gt;=$B18,G$5&lt;=$C18),1,0)</f>
        <v>0</v>
      </c>
      <c r="H18" s="107" t="n">
        <f aca="false">IF(AND(H$5&gt;=$B18,H$5&lt;=$C18),1,0)</f>
        <v>0</v>
      </c>
      <c r="I18" s="107" t="n">
        <f aca="false">IF(AND(I$5&gt;=$B18,I$5&lt;=$C18),1,0)</f>
        <v>0</v>
      </c>
      <c r="J18" s="107" t="n">
        <f aca="false">IF(AND(J$5&gt;=$B18,J$5&lt;=$C18),1,0)</f>
        <v>0</v>
      </c>
      <c r="K18" s="107" t="n">
        <f aca="false">IF(AND(K$5&gt;=$B18,K$5&lt;=$C18),1,0)</f>
        <v>0</v>
      </c>
      <c r="L18" s="107" t="n">
        <f aca="false">IF(AND(L$5&gt;=$B18,L$5&lt;=$C18),1,0)</f>
        <v>0</v>
      </c>
      <c r="M18" s="107" t="n">
        <f aca="false">IF(AND(M$5&gt;=$B18,M$5&lt;=$C18),1,0)</f>
        <v>0</v>
      </c>
      <c r="N18" s="107" t="n">
        <f aca="false">IF(AND(N$5&gt;=$B18,N$5&lt;=$C18),1,0)</f>
        <v>0</v>
      </c>
      <c r="O18" s="107" t="n">
        <f aca="false">IF(AND(O$5&gt;=$B18,O$5&lt;=$C18),1,0)</f>
        <v>0</v>
      </c>
      <c r="P18" s="107" t="n">
        <f aca="false">IF(AND(P$5&gt;=$B18,P$5&lt;=$C18),1,0)</f>
        <v>0</v>
      </c>
      <c r="Q18" s="107" t="n">
        <f aca="false">IF(AND(Q$5&gt;=$B18,Q$5&lt;=$C18),1,0)</f>
        <v>1</v>
      </c>
      <c r="R18" s="107" t="n">
        <f aca="false">IF(AND(R$5&gt;=$B18,R$5&lt;=$C18),1,0)</f>
        <v>1</v>
      </c>
      <c r="S18" s="107" t="n">
        <f aca="false">IF(AND(S$5&gt;=$B18,S$5&lt;=$C18),1,0)</f>
        <v>1</v>
      </c>
    </row>
    <row r="19" customFormat="false" ht="15" hidden="false" customHeight="false" outlineLevel="0" collapsed="false">
      <c r="A19" s="7" t="s">
        <v>1097</v>
      </c>
      <c r="F19" s="108" t="s">
        <v>1098</v>
      </c>
      <c r="H19" s="108" t="s">
        <v>1099</v>
      </c>
      <c r="K19" s="108" t="s">
        <v>1100</v>
      </c>
      <c r="O19" s="108" t="s">
        <v>1101</v>
      </c>
      <c r="S19" s="108" t="s">
        <v>1102</v>
      </c>
    </row>
    <row r="22" customFormat="false" ht="15" hidden="false" customHeight="false" outlineLevel="0" collapsed="false">
      <c r="A22" s="4" t="s">
        <v>1103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customFormat="false" ht="30" hidden="false" customHeight="true" outlineLevel="0" collapsed="false">
      <c r="A23" s="16" t="s">
        <v>1104</v>
      </c>
      <c r="B23" s="17"/>
      <c r="C23" s="17"/>
      <c r="D23" s="17" t="s">
        <v>1105</v>
      </c>
      <c r="E23" s="17" t="s">
        <v>1106</v>
      </c>
      <c r="F23" s="109" t="s">
        <v>1107</v>
      </c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</row>
    <row r="24" customFormat="false" ht="43.5" hidden="false" customHeight="true" outlineLevel="0" collapsed="false">
      <c r="A24" s="110" t="s">
        <v>1108</v>
      </c>
      <c r="B24" s="110"/>
      <c r="C24" s="110"/>
      <c r="D24" s="51" t="s">
        <v>1054</v>
      </c>
      <c r="E24" s="23" t="n">
        <f aca="false">MAX(0,-Model_B_Plus!$C$102)/1000000</f>
        <v>1.59</v>
      </c>
      <c r="F24" s="65" t="s">
        <v>1109</v>
      </c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</row>
    <row r="25" customFormat="false" ht="43.5" hidden="false" customHeight="true" outlineLevel="0" collapsed="false">
      <c r="A25" s="110" t="s">
        <v>1110</v>
      </c>
      <c r="B25" s="110"/>
      <c r="C25" s="110"/>
      <c r="D25" s="51" t="s">
        <v>1056</v>
      </c>
      <c r="E25" s="23" t="n">
        <f aca="false">MAX(0,-Model_B_Plus!$D$102)/1000000</f>
        <v>2.76206402543945</v>
      </c>
      <c r="F25" s="65" t="s">
        <v>1111</v>
      </c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</row>
    <row r="26" customFormat="false" ht="43.5" hidden="false" customHeight="true" outlineLevel="0" collapsed="false">
      <c r="A26" s="110" t="s">
        <v>1112</v>
      </c>
      <c r="B26" s="110"/>
      <c r="C26" s="110"/>
      <c r="D26" s="51" t="s">
        <v>1059</v>
      </c>
      <c r="E26" s="23" t="n">
        <f aca="false">MAX(0,-Model_B_Plus!$E$102)/1000000</f>
        <v>2.09649860177183</v>
      </c>
      <c r="F26" s="65" t="str">
        <f aca="false">"Closing net ARR &gt;= RM "&amp;TEXT(0.7*Model_B_Plus!$D$50/1000000,"0.00")&amp;"m (70% of Base Y1); customers &gt;= "&amp;TEXT(0.7*Model_B_Plus!$D$34,"0")&amp;"; logo churn &lt;= 12%; &gt;= 3 partners with 2+ closed deals."</f>
        <v>Closing net ARR &gt;= RM 0.61m (70% of Base Y1); customers &gt;= 39; logo churn &lt;= 12%; &gt;= 3 partners with 2+ closed deals.</v>
      </c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customFormat="false" ht="43.5" hidden="false" customHeight="true" outlineLevel="0" collapsed="false">
      <c r="A27" s="110" t="s">
        <v>1113</v>
      </c>
      <c r="B27" s="110"/>
      <c r="C27" s="110"/>
      <c r="D27" s="51" t="s">
        <v>1063</v>
      </c>
      <c r="E27" s="23" t="n">
        <f aca="false">MAX(0,-Model_B_Plus!$F$102)/1000000</f>
        <v>0.394051286585415</v>
      </c>
      <c r="F27" s="65" t="str">
        <f aca="false">"Closing net ARR &gt;= RM "&amp;TEXT(0.7*Model_B_Plus!$E$50/1000000,"0.00")&amp;"m (70% of Base Y2); &gt;= 9 active partners; CAC payback &lt;= 24 months; partner-sourced pipeline &gt;= 70%."</f>
        <v>Closing net ARR &gt;= RM 2.04m (70% of Base Y2); &gt;= 9 active partners; CAC payback &lt;= 24 months; partner-sourced pipeline &gt;= 70%.</v>
      </c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</row>
    <row r="28" customFormat="false" ht="43.5" hidden="false" customHeight="true" outlineLevel="0" collapsed="false">
      <c r="A28" s="110" t="s">
        <v>1114</v>
      </c>
      <c r="B28" s="110"/>
      <c r="C28" s="110"/>
      <c r="D28" s="51" t="s">
        <v>1067</v>
      </c>
      <c r="E28" s="23" t="n">
        <v>0</v>
      </c>
      <c r="F28" s="65" t="str">
        <f aca="false">"Closing net ARR &gt;= RM "&amp;TEXT(Model_B_Plus!$F$50/1000000,"0.00")&amp;"m (Base Y3) and EBITDA break-even within 12 months; otherwise hold or exit (stop-loss)."</f>
        <v>Closing net ARR &gt;= RM 6.25m (Base Y3) and EBITDA break-even within 12 months; otherwise hold or exit (stop-loss).</v>
      </c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</row>
  </sheetData>
  <mergeCells count="11">
    <mergeCell ref="F23:S23"/>
    <mergeCell ref="A24:C24"/>
    <mergeCell ref="F24:S24"/>
    <mergeCell ref="A25:C25"/>
    <mergeCell ref="F25:S25"/>
    <mergeCell ref="A26:C26"/>
    <mergeCell ref="F26:S26"/>
    <mergeCell ref="A27:C27"/>
    <mergeCell ref="F27:S27"/>
    <mergeCell ref="A28:C28"/>
    <mergeCell ref="F28:S28"/>
  </mergeCells>
  <conditionalFormatting sqref="F6:S18">
    <cfRule type="cellIs" priority="2" operator="equal" aboveAverage="0" equalAverage="0" bottom="0" percent="0" rank="0" text="" dxfId="6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tru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70"/>
    <col collapsed="false" customWidth="true" hidden="false" outlineLevel="0" max="4" min="4" style="0" width="50"/>
    <col collapsed="false" customWidth="true" hidden="false" outlineLevel="0" max="5" min="5" style="0" width="60"/>
    <col collapsed="false" customWidth="true" hidden="false" outlineLevel="0" max="6" min="6" style="0" width="20"/>
  </cols>
  <sheetData>
    <row r="1" customFormat="false" ht="17.35" hidden="false" customHeight="false" outlineLevel="0" collapsed="false">
      <c r="A1" s="13" t="s">
        <v>1115</v>
      </c>
    </row>
    <row r="2" customFormat="false" ht="15" hidden="false" customHeight="false" outlineLevel="0" collapsed="false">
      <c r="A2" s="14" t="s">
        <v>1116</v>
      </c>
    </row>
    <row r="4" customFormat="false" ht="15" hidden="false" customHeight="false" outlineLevel="0" collapsed="false">
      <c r="A4" s="16" t="s">
        <v>550</v>
      </c>
      <c r="B4" s="17" t="s">
        <v>1117</v>
      </c>
      <c r="C4" s="17" t="s">
        <v>1118</v>
      </c>
      <c r="D4" s="17" t="s">
        <v>1119</v>
      </c>
      <c r="E4" s="17" t="s">
        <v>1120</v>
      </c>
      <c r="F4" s="17" t="s">
        <v>1121</v>
      </c>
    </row>
    <row r="5" customFormat="false" ht="45.75" hidden="false" customHeight="true" outlineLevel="0" collapsed="false">
      <c r="A5" s="63" t="n">
        <v>1</v>
      </c>
      <c r="B5" s="51" t="s">
        <v>1122</v>
      </c>
      <c r="C5" s="51" t="s">
        <v>1123</v>
      </c>
      <c r="D5" s="51" t="s">
        <v>1124</v>
      </c>
      <c r="E5" s="51" t="s">
        <v>1125</v>
      </c>
      <c r="F5" s="51" t="s">
        <v>1126</v>
      </c>
    </row>
    <row r="6" customFormat="false" ht="45.75" hidden="false" customHeight="true" outlineLevel="0" collapsed="false">
      <c r="A6" s="63" t="n">
        <v>2</v>
      </c>
      <c r="B6" s="51" t="s">
        <v>1122</v>
      </c>
      <c r="C6" s="51" t="s">
        <v>1127</v>
      </c>
      <c r="D6" s="51" t="s">
        <v>1128</v>
      </c>
      <c r="E6" s="51" t="s">
        <v>1129</v>
      </c>
      <c r="F6" s="51" t="s">
        <v>1126</v>
      </c>
    </row>
    <row r="7" customFormat="false" ht="45.75" hidden="false" customHeight="true" outlineLevel="0" collapsed="false">
      <c r="A7" s="63" t="n">
        <v>3</v>
      </c>
      <c r="B7" s="51" t="s">
        <v>1122</v>
      </c>
      <c r="C7" s="51" t="s">
        <v>1130</v>
      </c>
      <c r="D7" s="51" t="s">
        <v>1131</v>
      </c>
      <c r="E7" s="51" t="s">
        <v>1132</v>
      </c>
      <c r="F7" s="51" t="s">
        <v>1126</v>
      </c>
    </row>
    <row r="8" customFormat="false" ht="45.75" hidden="false" customHeight="true" outlineLevel="0" collapsed="false">
      <c r="A8" s="63" t="n">
        <v>4</v>
      </c>
      <c r="B8" s="51" t="s">
        <v>1133</v>
      </c>
      <c r="C8" s="51" t="s">
        <v>1134</v>
      </c>
      <c r="D8" s="51" t="s">
        <v>1135</v>
      </c>
      <c r="E8" s="51" t="s">
        <v>1136</v>
      </c>
      <c r="F8" s="51" t="s">
        <v>1126</v>
      </c>
    </row>
    <row r="9" customFormat="false" ht="45.75" hidden="false" customHeight="true" outlineLevel="0" collapsed="false">
      <c r="A9" s="63" t="n">
        <v>5</v>
      </c>
      <c r="B9" s="51" t="s">
        <v>1133</v>
      </c>
      <c r="C9" s="51" t="s">
        <v>1137</v>
      </c>
      <c r="D9" s="51" t="s">
        <v>1138</v>
      </c>
      <c r="E9" s="51" t="s">
        <v>1139</v>
      </c>
      <c r="F9" s="51" t="s">
        <v>1126</v>
      </c>
    </row>
    <row r="10" customFormat="false" ht="45.75" hidden="false" customHeight="true" outlineLevel="0" collapsed="false">
      <c r="A10" s="63" t="n">
        <v>6</v>
      </c>
      <c r="B10" s="51" t="s">
        <v>1140</v>
      </c>
      <c r="C10" s="51" t="s">
        <v>1141</v>
      </c>
      <c r="D10" s="51" t="s">
        <v>1142</v>
      </c>
      <c r="E10" s="51" t="s">
        <v>1143</v>
      </c>
      <c r="F10" s="51" t="s">
        <v>1144</v>
      </c>
    </row>
    <row r="11" customFormat="false" ht="45.75" hidden="false" customHeight="true" outlineLevel="0" collapsed="false">
      <c r="A11" s="63" t="n">
        <v>7</v>
      </c>
      <c r="B11" s="51" t="s">
        <v>1140</v>
      </c>
      <c r="C11" s="51" t="s">
        <v>1145</v>
      </c>
      <c r="D11" s="51" t="s">
        <v>1146</v>
      </c>
      <c r="E11" s="51" t="s">
        <v>1147</v>
      </c>
      <c r="F11" s="51" t="s">
        <v>1126</v>
      </c>
    </row>
    <row r="12" customFormat="false" ht="45.75" hidden="false" customHeight="true" outlineLevel="0" collapsed="false">
      <c r="A12" s="63" t="n">
        <v>8</v>
      </c>
      <c r="B12" s="51" t="s">
        <v>1140</v>
      </c>
      <c r="C12" s="51" t="s">
        <v>1148</v>
      </c>
      <c r="D12" s="51" t="s">
        <v>1149</v>
      </c>
      <c r="E12" s="51" t="s">
        <v>1150</v>
      </c>
      <c r="F12" s="51" t="s">
        <v>1126</v>
      </c>
    </row>
    <row r="13" customFormat="false" ht="45.75" hidden="false" customHeight="true" outlineLevel="0" collapsed="false">
      <c r="A13" s="63" t="n">
        <v>9</v>
      </c>
      <c r="B13" s="51" t="s">
        <v>1151</v>
      </c>
      <c r="C13" s="51" t="s">
        <v>1152</v>
      </c>
      <c r="D13" s="51" t="s">
        <v>1153</v>
      </c>
      <c r="E13" s="51" t="s">
        <v>1154</v>
      </c>
      <c r="F13" s="51" t="s">
        <v>1126</v>
      </c>
    </row>
    <row r="14" customFormat="false" ht="45.75" hidden="false" customHeight="true" outlineLevel="0" collapsed="false">
      <c r="A14" s="63" t="n">
        <v>10</v>
      </c>
      <c r="B14" s="51" t="s">
        <v>1151</v>
      </c>
      <c r="C14" s="51" t="s">
        <v>1155</v>
      </c>
      <c r="D14" s="51" t="s">
        <v>1156</v>
      </c>
      <c r="E14" s="51" t="s">
        <v>1157</v>
      </c>
      <c r="F14" s="51" t="s">
        <v>1158</v>
      </c>
    </row>
    <row r="15" customFormat="false" ht="45.75" hidden="false" customHeight="true" outlineLevel="0" collapsed="false">
      <c r="A15" s="63" t="n">
        <v>11</v>
      </c>
      <c r="B15" s="51" t="s">
        <v>1159</v>
      </c>
      <c r="C15" s="51" t="s">
        <v>1160</v>
      </c>
      <c r="D15" s="51" t="s">
        <v>1161</v>
      </c>
      <c r="E15" s="51" t="s">
        <v>1162</v>
      </c>
      <c r="F15" s="51" t="s">
        <v>1163</v>
      </c>
    </row>
    <row r="16" customFormat="false" ht="45.75" hidden="false" customHeight="true" outlineLevel="0" collapsed="false">
      <c r="A16" s="63" t="n">
        <v>12</v>
      </c>
      <c r="B16" s="51" t="s">
        <v>1159</v>
      </c>
      <c r="C16" s="51" t="s">
        <v>1164</v>
      </c>
      <c r="D16" s="51" t="s">
        <v>1165</v>
      </c>
      <c r="E16" s="51" t="s">
        <v>1166</v>
      </c>
      <c r="F16" s="51" t="s">
        <v>1167</v>
      </c>
    </row>
    <row r="17" customFormat="false" ht="45.75" hidden="false" customHeight="true" outlineLevel="0" collapsed="false">
      <c r="A17" s="63" t="n">
        <v>13</v>
      </c>
      <c r="B17" s="51" t="s">
        <v>1159</v>
      </c>
      <c r="C17" s="51" t="s">
        <v>1168</v>
      </c>
      <c r="D17" s="51" t="s">
        <v>1169</v>
      </c>
      <c r="E17" s="51" t="s">
        <v>1170</v>
      </c>
      <c r="F17" s="51" t="s">
        <v>1171</v>
      </c>
    </row>
    <row r="18" customFormat="false" ht="45.75" hidden="false" customHeight="true" outlineLevel="0" collapsed="false">
      <c r="A18" s="63" t="n">
        <v>14</v>
      </c>
      <c r="B18" s="51" t="s">
        <v>1159</v>
      </c>
      <c r="C18" s="51" t="s">
        <v>1172</v>
      </c>
      <c r="D18" s="51" t="s">
        <v>1173</v>
      </c>
      <c r="E18" s="51" t="s">
        <v>1174</v>
      </c>
      <c r="F18" s="51" t="s">
        <v>1126</v>
      </c>
    </row>
    <row r="19" customFormat="false" ht="45.75" hidden="false" customHeight="true" outlineLevel="0" collapsed="false">
      <c r="A19" s="63" t="n">
        <v>15</v>
      </c>
      <c r="B19" s="51" t="s">
        <v>1159</v>
      </c>
      <c r="C19" s="51" t="s">
        <v>1175</v>
      </c>
      <c r="D19" s="51" t="s">
        <v>1176</v>
      </c>
      <c r="E19" s="51" t="s">
        <v>1177</v>
      </c>
      <c r="F19" s="51" t="s">
        <v>1178</v>
      </c>
    </row>
    <row r="20" customFormat="false" ht="45.75" hidden="false" customHeight="true" outlineLevel="0" collapsed="false">
      <c r="A20" s="63" t="n">
        <v>16</v>
      </c>
      <c r="B20" s="51" t="s">
        <v>1179</v>
      </c>
      <c r="C20" s="51" t="s">
        <v>1180</v>
      </c>
      <c r="D20" s="51" t="s">
        <v>1181</v>
      </c>
      <c r="E20" s="51" t="s">
        <v>1182</v>
      </c>
      <c r="F20" s="51" t="s">
        <v>1167</v>
      </c>
    </row>
    <row r="21" customFormat="false" ht="45.75" hidden="false" customHeight="true" outlineLevel="0" collapsed="false">
      <c r="A21" s="63" t="n">
        <v>17</v>
      </c>
      <c r="B21" s="51" t="s">
        <v>1183</v>
      </c>
      <c r="C21" s="51" t="s">
        <v>1184</v>
      </c>
      <c r="D21" s="51" t="s">
        <v>1185</v>
      </c>
      <c r="E21" s="51" t="s">
        <v>1186</v>
      </c>
      <c r="F21" s="51" t="s">
        <v>1187</v>
      </c>
    </row>
    <row r="22" customFormat="false" ht="45.75" hidden="false" customHeight="true" outlineLevel="0" collapsed="false">
      <c r="A22" s="63" t="n">
        <v>18</v>
      </c>
      <c r="B22" s="51" t="s">
        <v>1188</v>
      </c>
      <c r="C22" s="51" t="s">
        <v>1189</v>
      </c>
      <c r="D22" s="51" t="s">
        <v>1190</v>
      </c>
      <c r="E22" s="51" t="s">
        <v>1191</v>
      </c>
      <c r="F22" s="51" t="s">
        <v>521</v>
      </c>
    </row>
    <row r="23" customFormat="false" ht="45.75" hidden="false" customHeight="true" outlineLevel="0" collapsed="false">
      <c r="A23" s="63" t="n">
        <v>19</v>
      </c>
      <c r="B23" s="51" t="s">
        <v>1192</v>
      </c>
      <c r="C23" s="51" t="s">
        <v>1193</v>
      </c>
      <c r="D23" s="51" t="s">
        <v>1194</v>
      </c>
      <c r="E23" s="51" t="s">
        <v>1195</v>
      </c>
      <c r="F23" s="51" t="s">
        <v>1167</v>
      </c>
    </row>
    <row r="26" customFormat="false" ht="15" hidden="false" customHeight="false" outlineLevel="0" collapsed="false">
      <c r="A26" s="4" t="s">
        <v>1196</v>
      </c>
      <c r="B26" s="5"/>
      <c r="C26" s="5"/>
      <c r="D26" s="5"/>
      <c r="E26" s="5"/>
      <c r="F26" s="5"/>
    </row>
    <row r="27" customFormat="false" ht="15" hidden="false" customHeight="false" outlineLevel="0" collapsed="false">
      <c r="A27" s="16" t="s">
        <v>550</v>
      </c>
      <c r="B27" s="17" t="s">
        <v>1197</v>
      </c>
      <c r="C27" s="17" t="s">
        <v>1198</v>
      </c>
      <c r="D27" s="17" t="s">
        <v>1199</v>
      </c>
    </row>
    <row r="28" customFormat="false" ht="33.75" hidden="false" customHeight="true" outlineLevel="0" collapsed="false">
      <c r="A28" s="63" t="n">
        <v>1</v>
      </c>
      <c r="B28" s="51" t="s">
        <v>1200</v>
      </c>
      <c r="C28" s="51" t="s">
        <v>1201</v>
      </c>
      <c r="D28" s="51" t="s">
        <v>1202</v>
      </c>
    </row>
    <row r="29" customFormat="false" ht="33.75" hidden="false" customHeight="true" outlineLevel="0" collapsed="false">
      <c r="A29" s="63" t="n">
        <v>2</v>
      </c>
      <c r="B29" s="51" t="s">
        <v>1203</v>
      </c>
      <c r="C29" s="51" t="s">
        <v>1204</v>
      </c>
      <c r="D29" s="51" t="s">
        <v>1205</v>
      </c>
    </row>
    <row r="30" customFormat="false" ht="33.75" hidden="false" customHeight="true" outlineLevel="0" collapsed="false">
      <c r="A30" s="63" t="n">
        <v>3</v>
      </c>
      <c r="B30" s="51" t="s">
        <v>1206</v>
      </c>
      <c r="C30" s="51" t="s">
        <v>1207</v>
      </c>
      <c r="D30" s="51" t="s">
        <v>1208</v>
      </c>
    </row>
    <row r="31" customFormat="false" ht="33.75" hidden="false" customHeight="true" outlineLevel="0" collapsed="false">
      <c r="A31" s="63" t="n">
        <v>4</v>
      </c>
      <c r="B31" s="51" t="s">
        <v>1209</v>
      </c>
      <c r="C31" s="51" t="s">
        <v>1210</v>
      </c>
      <c r="D31" s="51" t="s">
        <v>1211</v>
      </c>
    </row>
    <row r="32" customFormat="false" ht="33.75" hidden="false" customHeight="true" outlineLevel="0" collapsed="false">
      <c r="A32" s="63" t="n">
        <v>5</v>
      </c>
      <c r="B32" s="51" t="s">
        <v>1212</v>
      </c>
      <c r="C32" s="51" t="s">
        <v>1213</v>
      </c>
      <c r="D32" s="51" t="s">
        <v>1214</v>
      </c>
    </row>
    <row r="33" customFormat="false" ht="33.75" hidden="false" customHeight="true" outlineLevel="0" collapsed="false">
      <c r="A33" s="63" t="n">
        <v>6</v>
      </c>
      <c r="B33" s="51" t="s">
        <v>1215</v>
      </c>
      <c r="C33" s="51" t="s">
        <v>1216</v>
      </c>
      <c r="D33" s="51" t="s">
        <v>1217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2026-10-13T19:37:27Z</dcterms:created>
  <dc:creator>openpyxl</dc:creator>
  <dc:description/>
  <dc:language>en-US</dc:language>
  <cp:lastModifiedBy/>
  <dcterms:modified xsi:type="dcterms:W3CDTF">2026-10-13T19:37:30Z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